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Meu Drive\N.A.Birenbaum Engenharia\CONSULTORIA\EM ANDAMENTO\FINATEC\CPRM\CPRM LITOTECAS\CPRM LITOTECA URCA\01. OBRA LITOTECA URCA\"/>
    </mc:Choice>
  </mc:AlternateContent>
  <xr:revisionPtr revIDLastSave="0" documentId="13_ncr:1_{5BAEDE17-01F9-4611-89F4-34D338038852}" xr6:coauthVersionLast="47" xr6:coauthVersionMax="47" xr10:uidLastSave="{00000000-0000-0000-0000-000000000000}"/>
  <bookViews>
    <workbookView xWindow="28680" yWindow="-120" windowWidth="20730" windowHeight="11040" xr2:uid="{3A54CABC-E2B3-4DD5-A507-3D1E5CEA418B}"/>
  </bookViews>
  <sheets>
    <sheet name="Planilha" sheetId="1" r:id="rId1"/>
    <sheet name="Resumo" sheetId="2" r:id="rId2"/>
    <sheet name="BDI" sheetId="3" r:id="rId3"/>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75" i="1" l="1"/>
  <c r="I1179" i="1"/>
  <c r="E1154" i="1"/>
  <c r="E1155" i="1"/>
  <c r="E1153" i="1"/>
  <c r="E1151" i="1"/>
  <c r="E950" i="1"/>
  <c r="E104" i="1"/>
  <c r="E94" i="1"/>
  <c r="E1075" i="1"/>
  <c r="G1071" i="1"/>
  <c r="I173" i="1"/>
  <c r="I424" i="1"/>
  <c r="I414" i="1"/>
  <c r="I1108" i="1"/>
  <c r="H1004" i="1"/>
  <c r="I1004" i="1" s="1"/>
  <c r="H1087" i="1"/>
  <c r="I1087" i="1" s="1"/>
  <c r="H796" i="1"/>
  <c r="I796" i="1" s="1"/>
  <c r="H627" i="1"/>
  <c r="H563" i="1"/>
  <c r="I563" i="1" s="1"/>
  <c r="H527" i="1"/>
  <c r="I527" i="1" s="1"/>
  <c r="H396" i="1"/>
  <c r="I396" i="1" s="1"/>
  <c r="H380" i="1"/>
  <c r="I380" i="1" s="1"/>
  <c r="H359" i="1"/>
  <c r="I359" i="1" s="1"/>
  <c r="H264" i="1"/>
  <c r="I264" i="1" s="1"/>
  <c r="H263" i="1"/>
  <c r="I263" i="1" s="1"/>
  <c r="H235" i="1"/>
  <c r="I235" i="1" s="1"/>
  <c r="I234" i="1" s="1"/>
  <c r="H184" i="1"/>
  <c r="I184" i="1" s="1"/>
  <c r="H42" i="1"/>
  <c r="I42" i="1" s="1"/>
  <c r="E1156" i="1"/>
  <c r="H1156" i="1" s="1"/>
  <c r="I1156" i="1" s="1"/>
  <c r="H1155" i="1"/>
  <c r="I1155" i="1" s="1"/>
  <c r="H1154" i="1"/>
  <c r="I1154" i="1" s="1"/>
  <c r="I1148" i="1" s="1"/>
  <c r="I1147" i="1" s="1"/>
  <c r="H1153" i="1"/>
  <c r="I1153" i="1" s="1"/>
  <c r="E1152" i="1"/>
  <c r="H1152" i="1" s="1"/>
  <c r="I1152" i="1" s="1"/>
  <c r="H1151" i="1"/>
  <c r="I1151" i="1" s="1"/>
  <c r="G1145" i="1"/>
  <c r="F1145" i="1"/>
  <c r="E1145" i="1"/>
  <c r="G1142" i="1"/>
  <c r="F1142" i="1"/>
  <c r="E1142" i="1"/>
  <c r="G1139" i="1"/>
  <c r="F1139" i="1"/>
  <c r="E1139" i="1"/>
  <c r="G1136" i="1"/>
  <c r="F1136" i="1"/>
  <c r="E1136" i="1"/>
  <c r="H1136" i="1" s="1"/>
  <c r="I1136" i="1" s="1"/>
  <c r="I1135" i="1" s="1"/>
  <c r="G1133" i="1"/>
  <c r="F1133" i="1"/>
  <c r="E1133" i="1"/>
  <c r="G1132" i="1"/>
  <c r="F1132" i="1"/>
  <c r="E1132" i="1"/>
  <c r="G1131" i="1"/>
  <c r="F1131" i="1"/>
  <c r="E1131" i="1"/>
  <c r="G1130" i="1"/>
  <c r="F1130" i="1"/>
  <c r="E1130" i="1"/>
  <c r="H1130" i="1" s="1"/>
  <c r="I1130" i="1" s="1"/>
  <c r="G1129" i="1"/>
  <c r="F1129" i="1"/>
  <c r="E1129" i="1"/>
  <c r="G1128" i="1"/>
  <c r="F1128" i="1"/>
  <c r="E1128" i="1"/>
  <c r="G1127" i="1"/>
  <c r="F1127" i="1"/>
  <c r="E1127" i="1"/>
  <c r="G1126" i="1"/>
  <c r="F1126" i="1"/>
  <c r="E1126" i="1"/>
  <c r="H1126" i="1" s="1"/>
  <c r="I1126" i="1" s="1"/>
  <c r="G1125" i="1"/>
  <c r="F1125" i="1"/>
  <c r="E1125" i="1"/>
  <c r="G1124" i="1"/>
  <c r="F1124" i="1"/>
  <c r="E1124" i="1"/>
  <c r="G1123" i="1"/>
  <c r="F1123" i="1"/>
  <c r="E1123" i="1"/>
  <c r="H1123" i="1" s="1"/>
  <c r="I1123" i="1" s="1"/>
  <c r="G1122" i="1"/>
  <c r="F1122" i="1"/>
  <c r="E1122" i="1"/>
  <c r="H1122" i="1" s="1"/>
  <c r="I1122" i="1" s="1"/>
  <c r="G1121" i="1"/>
  <c r="F1121" i="1"/>
  <c r="E1121" i="1"/>
  <c r="G1120" i="1"/>
  <c r="F1120" i="1"/>
  <c r="E1120" i="1"/>
  <c r="G1119" i="1"/>
  <c r="F1119" i="1"/>
  <c r="E1119" i="1"/>
  <c r="G1118" i="1"/>
  <c r="F1118" i="1"/>
  <c r="E1118" i="1"/>
  <c r="H1118" i="1" s="1"/>
  <c r="I1118" i="1" s="1"/>
  <c r="G1117" i="1"/>
  <c r="F1117" i="1"/>
  <c r="E1117" i="1"/>
  <c r="G1116" i="1"/>
  <c r="F1116" i="1"/>
  <c r="E1116" i="1"/>
  <c r="G1115" i="1"/>
  <c r="F1115" i="1"/>
  <c r="E1115" i="1"/>
  <c r="G1114" i="1"/>
  <c r="F1114" i="1"/>
  <c r="E1114" i="1"/>
  <c r="H1114" i="1" s="1"/>
  <c r="I1114" i="1" s="1"/>
  <c r="G1113" i="1"/>
  <c r="F1113" i="1"/>
  <c r="E1113" i="1"/>
  <c r="G1112" i="1"/>
  <c r="F1112" i="1"/>
  <c r="E1112" i="1"/>
  <c r="G1111" i="1"/>
  <c r="F1111" i="1"/>
  <c r="E1111" i="1"/>
  <c r="G1110" i="1"/>
  <c r="F1110" i="1"/>
  <c r="E1110" i="1"/>
  <c r="H1110" i="1" s="1"/>
  <c r="I1110" i="1" s="1"/>
  <c r="G1106" i="1"/>
  <c r="F1106" i="1"/>
  <c r="E1106" i="1"/>
  <c r="G1105" i="1"/>
  <c r="F1105" i="1"/>
  <c r="E1105" i="1"/>
  <c r="G1104" i="1"/>
  <c r="F1104" i="1"/>
  <c r="E1104" i="1"/>
  <c r="F1101" i="1"/>
  <c r="E1101" i="1"/>
  <c r="F1100" i="1"/>
  <c r="E1100" i="1"/>
  <c r="F1099" i="1"/>
  <c r="E1099" i="1"/>
  <c r="G1096" i="1"/>
  <c r="F1096" i="1"/>
  <c r="H1096" i="1" s="1"/>
  <c r="I1096" i="1" s="1"/>
  <c r="E1096" i="1"/>
  <c r="F1095" i="1"/>
  <c r="E1095" i="1"/>
  <c r="G1092" i="1"/>
  <c r="F1092" i="1"/>
  <c r="E1092" i="1"/>
  <c r="G1091" i="1"/>
  <c r="F1091" i="1"/>
  <c r="E1091" i="1"/>
  <c r="H1091" i="1" s="1"/>
  <c r="I1091" i="1" s="1"/>
  <c r="G1088" i="1"/>
  <c r="F1088" i="1"/>
  <c r="E1088" i="1"/>
  <c r="G1087" i="1"/>
  <c r="F1087" i="1"/>
  <c r="E1087" i="1"/>
  <c r="G1086" i="1"/>
  <c r="F1086" i="1"/>
  <c r="E1086" i="1"/>
  <c r="G1085" i="1"/>
  <c r="F1085" i="1"/>
  <c r="E1085" i="1"/>
  <c r="H1085" i="1" s="1"/>
  <c r="I1085" i="1" s="1"/>
  <c r="G1084" i="1"/>
  <c r="F1084" i="1"/>
  <c r="E1084" i="1"/>
  <c r="G1081" i="1"/>
  <c r="F1081" i="1"/>
  <c r="E1081" i="1"/>
  <c r="G1080" i="1"/>
  <c r="F1080" i="1"/>
  <c r="E1080" i="1"/>
  <c r="G1079" i="1"/>
  <c r="F1079" i="1"/>
  <c r="E1079" i="1"/>
  <c r="H1079" i="1" s="1"/>
  <c r="I1079" i="1" s="1"/>
  <c r="G1078" i="1"/>
  <c r="F1078" i="1"/>
  <c r="E1078" i="1"/>
  <c r="G1077" i="1"/>
  <c r="F1077" i="1"/>
  <c r="E1077" i="1"/>
  <c r="G1076" i="1"/>
  <c r="H1076" i="1" s="1"/>
  <c r="I1076" i="1" s="1"/>
  <c r="F1076" i="1"/>
  <c r="E1076" i="1"/>
  <c r="G1075" i="1"/>
  <c r="F1075" i="1"/>
  <c r="H1075" i="1"/>
  <c r="I1075" i="1" s="1"/>
  <c r="G1074" i="1"/>
  <c r="F1074" i="1"/>
  <c r="E1074" i="1"/>
  <c r="G1073" i="1"/>
  <c r="F1073" i="1"/>
  <c r="E1073" i="1"/>
  <c r="G1072" i="1"/>
  <c r="F1072" i="1"/>
  <c r="E1072" i="1"/>
  <c r="F1071" i="1"/>
  <c r="E1071" i="1"/>
  <c r="H1071" i="1" s="1"/>
  <c r="I1071" i="1" s="1"/>
  <c r="F1067" i="1"/>
  <c r="H1067" i="1" s="1"/>
  <c r="I1067" i="1" s="1"/>
  <c r="G1066" i="1"/>
  <c r="F1066" i="1"/>
  <c r="E1066" i="1"/>
  <c r="E1065" i="1"/>
  <c r="H1065" i="1" s="1"/>
  <c r="I1065" i="1" s="1"/>
  <c r="G1064" i="1"/>
  <c r="F1064" i="1"/>
  <c r="E1064" i="1"/>
  <c r="F1063" i="1"/>
  <c r="E1063" i="1"/>
  <c r="H1063" i="1" s="1"/>
  <c r="I1063" i="1" s="1"/>
  <c r="G1062" i="1"/>
  <c r="F1062" i="1"/>
  <c r="E1062" i="1"/>
  <c r="G1061" i="1"/>
  <c r="F1061" i="1"/>
  <c r="E1061" i="1"/>
  <c r="G1060" i="1"/>
  <c r="F1060" i="1"/>
  <c r="E1060" i="1"/>
  <c r="G1059" i="1"/>
  <c r="F1059" i="1"/>
  <c r="E1059" i="1"/>
  <c r="H1059" i="1" s="1"/>
  <c r="I1059" i="1" s="1"/>
  <c r="G1058" i="1"/>
  <c r="F1058" i="1"/>
  <c r="E1058" i="1"/>
  <c r="G1057" i="1"/>
  <c r="F1057" i="1"/>
  <c r="E1057" i="1"/>
  <c r="G1056" i="1"/>
  <c r="F1056" i="1"/>
  <c r="E1056" i="1"/>
  <c r="F1053" i="1"/>
  <c r="E1053" i="1"/>
  <c r="G1052" i="1"/>
  <c r="F1052" i="1"/>
  <c r="E1052" i="1"/>
  <c r="H1052" i="1" s="1"/>
  <c r="I1052" i="1" s="1"/>
  <c r="F1051" i="1"/>
  <c r="E1051" i="1"/>
  <c r="G1048" i="1"/>
  <c r="F1048" i="1"/>
  <c r="E1048" i="1"/>
  <c r="G1047" i="1"/>
  <c r="F1047" i="1"/>
  <c r="E1047" i="1"/>
  <c r="F1046" i="1"/>
  <c r="E1046" i="1"/>
  <c r="H1046" i="1" s="1"/>
  <c r="I1046" i="1" s="1"/>
  <c r="G1045" i="1"/>
  <c r="F1045" i="1"/>
  <c r="E1045" i="1"/>
  <c r="G1044" i="1"/>
  <c r="F1044" i="1"/>
  <c r="E1044" i="1"/>
  <c r="F1041" i="1"/>
  <c r="E1041" i="1"/>
  <c r="F1040" i="1"/>
  <c r="E1040" i="1"/>
  <c r="G1037" i="1"/>
  <c r="F1037" i="1"/>
  <c r="E1037" i="1"/>
  <c r="G1034" i="1"/>
  <c r="F1034" i="1"/>
  <c r="E1034" i="1"/>
  <c r="G1033" i="1"/>
  <c r="F1033" i="1"/>
  <c r="E1033" i="1"/>
  <c r="G1032" i="1"/>
  <c r="F1032" i="1"/>
  <c r="E1032" i="1"/>
  <c r="G1029" i="1"/>
  <c r="F1029" i="1"/>
  <c r="E1029" i="1"/>
  <c r="G1028" i="1"/>
  <c r="F1028" i="1"/>
  <c r="E1028" i="1"/>
  <c r="G1027" i="1"/>
  <c r="F1027" i="1"/>
  <c r="E1027" i="1"/>
  <c r="G1026" i="1"/>
  <c r="F1026" i="1"/>
  <c r="E1026" i="1"/>
  <c r="G1025" i="1"/>
  <c r="F1025" i="1"/>
  <c r="E1025" i="1"/>
  <c r="G1024" i="1"/>
  <c r="F1024" i="1"/>
  <c r="E1024" i="1"/>
  <c r="G1023" i="1"/>
  <c r="F1023" i="1"/>
  <c r="E1023" i="1"/>
  <c r="G1022" i="1"/>
  <c r="F1022" i="1"/>
  <c r="E1022" i="1"/>
  <c r="G1021" i="1"/>
  <c r="F1021" i="1"/>
  <c r="E1021" i="1"/>
  <c r="G1020" i="1"/>
  <c r="F1020" i="1"/>
  <c r="E1020" i="1"/>
  <c r="G1019" i="1"/>
  <c r="F1019" i="1"/>
  <c r="E1019" i="1"/>
  <c r="G1018" i="1"/>
  <c r="F1018" i="1"/>
  <c r="E1018" i="1"/>
  <c r="G1017" i="1"/>
  <c r="F1017" i="1"/>
  <c r="E1017" i="1"/>
  <c r="G1016" i="1"/>
  <c r="F1016" i="1"/>
  <c r="E1016" i="1"/>
  <c r="G1015" i="1"/>
  <c r="F1015" i="1"/>
  <c r="E1015" i="1"/>
  <c r="G1014" i="1"/>
  <c r="F1014" i="1"/>
  <c r="E1014" i="1"/>
  <c r="G1013" i="1"/>
  <c r="F1013" i="1"/>
  <c r="E1013" i="1"/>
  <c r="G1012" i="1"/>
  <c r="F1012" i="1"/>
  <c r="E1012" i="1"/>
  <c r="G1011" i="1"/>
  <c r="F1011" i="1"/>
  <c r="E1011" i="1"/>
  <c r="G1010" i="1"/>
  <c r="F1010" i="1"/>
  <c r="E1010" i="1"/>
  <c r="G1009" i="1"/>
  <c r="F1009" i="1"/>
  <c r="E1009" i="1"/>
  <c r="G1008" i="1"/>
  <c r="F1008" i="1"/>
  <c r="E1008" i="1"/>
  <c r="G1007" i="1"/>
  <c r="F1007" i="1"/>
  <c r="E1007" i="1"/>
  <c r="G1006" i="1"/>
  <c r="F1006" i="1"/>
  <c r="E1006" i="1"/>
  <c r="G1005" i="1"/>
  <c r="F1005" i="1"/>
  <c r="E1005" i="1"/>
  <c r="G1003" i="1"/>
  <c r="F1003" i="1"/>
  <c r="E1003" i="1"/>
  <c r="G1002" i="1"/>
  <c r="F1002" i="1"/>
  <c r="E1002" i="1"/>
  <c r="G1001" i="1"/>
  <c r="F1001" i="1"/>
  <c r="E1001" i="1"/>
  <c r="G1000" i="1"/>
  <c r="F1000" i="1"/>
  <c r="E1000" i="1"/>
  <c r="G999" i="1"/>
  <c r="F999" i="1"/>
  <c r="E999" i="1"/>
  <c r="G998" i="1"/>
  <c r="F998" i="1"/>
  <c r="E998" i="1"/>
  <c r="G997" i="1"/>
  <c r="F997" i="1"/>
  <c r="E997" i="1"/>
  <c r="G996" i="1"/>
  <c r="F996" i="1"/>
  <c r="E996" i="1"/>
  <c r="H996" i="1" s="1"/>
  <c r="I996" i="1" s="1"/>
  <c r="G992" i="1"/>
  <c r="F992" i="1"/>
  <c r="E992" i="1"/>
  <c r="G991" i="1"/>
  <c r="F991" i="1"/>
  <c r="E991" i="1"/>
  <c r="G988" i="1"/>
  <c r="F988" i="1"/>
  <c r="E988" i="1"/>
  <c r="G987" i="1"/>
  <c r="F987" i="1"/>
  <c r="E987" i="1"/>
  <c r="G986" i="1"/>
  <c r="F986" i="1"/>
  <c r="E986" i="1"/>
  <c r="G985" i="1"/>
  <c r="F985" i="1"/>
  <c r="E985" i="1"/>
  <c r="G982" i="1"/>
  <c r="F982" i="1"/>
  <c r="E982" i="1"/>
  <c r="G981" i="1"/>
  <c r="F981" i="1"/>
  <c r="E981" i="1"/>
  <c r="G980" i="1"/>
  <c r="F980" i="1"/>
  <c r="E980" i="1"/>
  <c r="F979" i="1"/>
  <c r="E979" i="1"/>
  <c r="F978" i="1"/>
  <c r="E978" i="1"/>
  <c r="F977" i="1"/>
  <c r="E977" i="1"/>
  <c r="F976" i="1"/>
  <c r="E976" i="1"/>
  <c r="H976" i="1" s="1"/>
  <c r="I976" i="1" s="1"/>
  <c r="F975" i="1"/>
  <c r="E975" i="1"/>
  <c r="H975" i="1" s="1"/>
  <c r="I975" i="1" s="1"/>
  <c r="G972" i="1"/>
  <c r="F972" i="1"/>
  <c r="E972" i="1"/>
  <c r="G971" i="1"/>
  <c r="F971" i="1"/>
  <c r="E971" i="1"/>
  <c r="G970" i="1"/>
  <c r="F970" i="1"/>
  <c r="E970" i="1"/>
  <c r="G969" i="1"/>
  <c r="F969" i="1"/>
  <c r="E969" i="1"/>
  <c r="H969" i="1" s="1"/>
  <c r="I969" i="1" s="1"/>
  <c r="G968" i="1"/>
  <c r="F968" i="1"/>
  <c r="E968" i="1"/>
  <c r="G967" i="1"/>
  <c r="F967" i="1"/>
  <c r="E967" i="1"/>
  <c r="G966" i="1"/>
  <c r="F966" i="1"/>
  <c r="E966" i="1"/>
  <c r="G965" i="1"/>
  <c r="F965" i="1"/>
  <c r="E965" i="1"/>
  <c r="H965" i="1" s="1"/>
  <c r="I965" i="1" s="1"/>
  <c r="G964" i="1"/>
  <c r="F964" i="1"/>
  <c r="E964" i="1"/>
  <c r="G963" i="1"/>
  <c r="F963" i="1"/>
  <c r="E963" i="1"/>
  <c r="G962" i="1"/>
  <c r="F962" i="1"/>
  <c r="E962" i="1"/>
  <c r="G961" i="1"/>
  <c r="F961" i="1"/>
  <c r="E961" i="1"/>
  <c r="H961" i="1" s="1"/>
  <c r="I961" i="1" s="1"/>
  <c r="G960" i="1"/>
  <c r="F960" i="1"/>
  <c r="E960" i="1"/>
  <c r="G957" i="1"/>
  <c r="F957" i="1"/>
  <c r="E957" i="1"/>
  <c r="H957" i="1" s="1"/>
  <c r="I957" i="1" s="1"/>
  <c r="G956" i="1"/>
  <c r="H956" i="1" s="1"/>
  <c r="I956" i="1" s="1"/>
  <c r="F956" i="1"/>
  <c r="E956" i="1"/>
  <c r="G955" i="1"/>
  <c r="F955" i="1"/>
  <c r="E955" i="1"/>
  <c r="H955" i="1" s="1"/>
  <c r="I955" i="1" s="1"/>
  <c r="G954" i="1"/>
  <c r="F954" i="1"/>
  <c r="E954" i="1"/>
  <c r="G953" i="1"/>
  <c r="F953" i="1"/>
  <c r="E953" i="1"/>
  <c r="G952" i="1"/>
  <c r="F952" i="1"/>
  <c r="E952" i="1"/>
  <c r="G951" i="1"/>
  <c r="F951" i="1"/>
  <c r="E951" i="1"/>
  <c r="H951" i="1" s="1"/>
  <c r="I951" i="1" s="1"/>
  <c r="G950" i="1"/>
  <c r="F950" i="1"/>
  <c r="G949" i="1"/>
  <c r="F949" i="1"/>
  <c r="E949" i="1"/>
  <c r="G948" i="1"/>
  <c r="F948" i="1"/>
  <c r="E948" i="1"/>
  <c r="G945" i="1"/>
  <c r="F945" i="1"/>
  <c r="E945" i="1"/>
  <c r="H945" i="1" s="1"/>
  <c r="I945" i="1" s="1"/>
  <c r="G944" i="1"/>
  <c r="F944" i="1"/>
  <c r="E944" i="1"/>
  <c r="G943" i="1"/>
  <c r="F943" i="1"/>
  <c r="E943" i="1"/>
  <c r="G942" i="1"/>
  <c r="F942" i="1"/>
  <c r="E942" i="1"/>
  <c r="G941" i="1"/>
  <c r="F941" i="1"/>
  <c r="E941" i="1"/>
  <c r="H941" i="1" s="1"/>
  <c r="I941" i="1" s="1"/>
  <c r="G940" i="1"/>
  <c r="F940" i="1"/>
  <c r="E940" i="1"/>
  <c r="G939" i="1"/>
  <c r="F939" i="1"/>
  <c r="E939" i="1"/>
  <c r="G938" i="1"/>
  <c r="F938" i="1"/>
  <c r="E938" i="1"/>
  <c r="G937" i="1"/>
  <c r="F937" i="1"/>
  <c r="E937" i="1"/>
  <c r="H937" i="1" s="1"/>
  <c r="I937" i="1" s="1"/>
  <c r="G936" i="1"/>
  <c r="F936" i="1"/>
  <c r="E936" i="1"/>
  <c r="G935" i="1"/>
  <c r="F935" i="1"/>
  <c r="E935" i="1"/>
  <c r="G934" i="1"/>
  <c r="F934" i="1"/>
  <c r="E934" i="1"/>
  <c r="G933" i="1"/>
  <c r="F933" i="1"/>
  <c r="E933" i="1"/>
  <c r="H933" i="1" s="1"/>
  <c r="I933" i="1" s="1"/>
  <c r="G932" i="1"/>
  <c r="F932" i="1"/>
  <c r="E932" i="1"/>
  <c r="G931" i="1"/>
  <c r="F931" i="1"/>
  <c r="E931" i="1"/>
  <c r="G930" i="1"/>
  <c r="F930" i="1"/>
  <c r="E930" i="1"/>
  <c r="G929" i="1"/>
  <c r="F929" i="1"/>
  <c r="E929" i="1"/>
  <c r="H929" i="1" s="1"/>
  <c r="I929" i="1" s="1"/>
  <c r="G928" i="1"/>
  <c r="F928" i="1"/>
  <c r="E928" i="1"/>
  <c r="G927" i="1"/>
  <c r="F927" i="1"/>
  <c r="E927" i="1"/>
  <c r="G926" i="1"/>
  <c r="F926" i="1"/>
  <c r="E926" i="1"/>
  <c r="H926" i="1" s="1"/>
  <c r="I926" i="1" s="1"/>
  <c r="G925" i="1"/>
  <c r="F925" i="1"/>
  <c r="E925" i="1"/>
  <c r="H925" i="1" s="1"/>
  <c r="I925" i="1" s="1"/>
  <c r="G924" i="1"/>
  <c r="F924" i="1"/>
  <c r="E924" i="1"/>
  <c r="G923" i="1"/>
  <c r="F923" i="1"/>
  <c r="E923" i="1"/>
  <c r="G922" i="1"/>
  <c r="F922" i="1"/>
  <c r="E922" i="1"/>
  <c r="G921" i="1"/>
  <c r="F921" i="1"/>
  <c r="E921" i="1"/>
  <c r="H921" i="1" s="1"/>
  <c r="I921" i="1" s="1"/>
  <c r="G920" i="1"/>
  <c r="F920" i="1"/>
  <c r="E920" i="1"/>
  <c r="G919" i="1"/>
  <c r="F919" i="1"/>
  <c r="E919" i="1"/>
  <c r="G918" i="1"/>
  <c r="F918" i="1"/>
  <c r="E918" i="1"/>
  <c r="G917" i="1"/>
  <c r="F917" i="1"/>
  <c r="E917" i="1"/>
  <c r="H917" i="1" s="1"/>
  <c r="I917" i="1" s="1"/>
  <c r="G916" i="1"/>
  <c r="F916" i="1"/>
  <c r="E916" i="1"/>
  <c r="G915" i="1"/>
  <c r="F915" i="1"/>
  <c r="E915" i="1"/>
  <c r="G914" i="1"/>
  <c r="F914" i="1"/>
  <c r="E914" i="1"/>
  <c r="G913" i="1"/>
  <c r="F913" i="1"/>
  <c r="E913" i="1"/>
  <c r="H913" i="1" s="1"/>
  <c r="I913" i="1" s="1"/>
  <c r="G912" i="1"/>
  <c r="F912" i="1"/>
  <c r="E912" i="1"/>
  <c r="G911" i="1"/>
  <c r="F911" i="1"/>
  <c r="H911" i="1" s="1"/>
  <c r="I911" i="1" s="1"/>
  <c r="E911" i="1"/>
  <c r="G910" i="1"/>
  <c r="F910" i="1"/>
  <c r="E910" i="1"/>
  <c r="G909" i="1"/>
  <c r="F909" i="1"/>
  <c r="E909" i="1"/>
  <c r="H909" i="1" s="1"/>
  <c r="I909" i="1" s="1"/>
  <c r="G908" i="1"/>
  <c r="F908" i="1"/>
  <c r="E908" i="1"/>
  <c r="G907" i="1"/>
  <c r="F907" i="1"/>
  <c r="E907" i="1"/>
  <c r="G906" i="1"/>
  <c r="F906" i="1"/>
  <c r="E906" i="1"/>
  <c r="G905" i="1"/>
  <c r="F905" i="1"/>
  <c r="E905" i="1"/>
  <c r="H905" i="1" s="1"/>
  <c r="I905" i="1" s="1"/>
  <c r="G904" i="1"/>
  <c r="F904" i="1"/>
  <c r="E904" i="1"/>
  <c r="G903" i="1"/>
  <c r="F903" i="1"/>
  <c r="E903" i="1"/>
  <c r="H903" i="1" s="1"/>
  <c r="I903" i="1" s="1"/>
  <c r="G902" i="1"/>
  <c r="F902" i="1"/>
  <c r="E902" i="1"/>
  <c r="G898" i="1"/>
  <c r="F898" i="1"/>
  <c r="E898" i="1"/>
  <c r="H898" i="1" s="1"/>
  <c r="I898" i="1" s="1"/>
  <c r="G897" i="1"/>
  <c r="F897" i="1"/>
  <c r="E897" i="1"/>
  <c r="F896" i="1"/>
  <c r="E896" i="1"/>
  <c r="F895" i="1"/>
  <c r="E895" i="1"/>
  <c r="G894" i="1"/>
  <c r="F894" i="1"/>
  <c r="E894" i="1"/>
  <c r="F893" i="1"/>
  <c r="E893" i="1"/>
  <c r="H893" i="1" s="1"/>
  <c r="I893" i="1" s="1"/>
  <c r="F892" i="1"/>
  <c r="E892" i="1"/>
  <c r="F891" i="1"/>
  <c r="E891" i="1"/>
  <c r="G888" i="1"/>
  <c r="F888" i="1"/>
  <c r="E888" i="1"/>
  <c r="G887" i="1"/>
  <c r="F887" i="1"/>
  <c r="E887" i="1"/>
  <c r="H887" i="1" s="1"/>
  <c r="I887" i="1" s="1"/>
  <c r="G886" i="1"/>
  <c r="F886" i="1"/>
  <c r="E886" i="1"/>
  <c r="G885" i="1"/>
  <c r="F885" i="1"/>
  <c r="E885" i="1"/>
  <c r="G884" i="1"/>
  <c r="F884" i="1"/>
  <c r="E884" i="1"/>
  <c r="H884" i="1" s="1"/>
  <c r="I884" i="1" s="1"/>
  <c r="G883" i="1"/>
  <c r="F883" i="1"/>
  <c r="E883" i="1"/>
  <c r="H883" i="1" s="1"/>
  <c r="I883" i="1" s="1"/>
  <c r="G882" i="1"/>
  <c r="F882" i="1"/>
  <c r="E882" i="1"/>
  <c r="G881" i="1"/>
  <c r="F881" i="1"/>
  <c r="E881" i="1"/>
  <c r="G878" i="1"/>
  <c r="F878" i="1"/>
  <c r="E878" i="1"/>
  <c r="G877" i="1"/>
  <c r="F877" i="1"/>
  <c r="E877" i="1"/>
  <c r="H877" i="1" s="1"/>
  <c r="I877" i="1" s="1"/>
  <c r="G874" i="1"/>
  <c r="F874" i="1"/>
  <c r="E874" i="1"/>
  <c r="G873" i="1"/>
  <c r="F873" i="1"/>
  <c r="E873" i="1"/>
  <c r="G872" i="1"/>
  <c r="F872" i="1"/>
  <c r="E872" i="1"/>
  <c r="G871" i="1"/>
  <c r="F871" i="1"/>
  <c r="E871" i="1"/>
  <c r="H871" i="1" s="1"/>
  <c r="I871" i="1" s="1"/>
  <c r="G870" i="1"/>
  <c r="F870" i="1"/>
  <c r="E870" i="1"/>
  <c r="G869" i="1"/>
  <c r="F869" i="1"/>
  <c r="E869" i="1"/>
  <c r="G868" i="1"/>
  <c r="F868" i="1"/>
  <c r="E868" i="1"/>
  <c r="G865" i="1"/>
  <c r="F865" i="1"/>
  <c r="E865" i="1"/>
  <c r="H865" i="1" s="1"/>
  <c r="I865" i="1" s="1"/>
  <c r="G864" i="1"/>
  <c r="F864" i="1"/>
  <c r="E864" i="1"/>
  <c r="G863" i="1"/>
  <c r="F863" i="1"/>
  <c r="E863" i="1"/>
  <c r="G862" i="1"/>
  <c r="F862" i="1"/>
  <c r="E862" i="1"/>
  <c r="G861" i="1"/>
  <c r="F861" i="1"/>
  <c r="E861" i="1"/>
  <c r="H861" i="1" s="1"/>
  <c r="I861" i="1" s="1"/>
  <c r="G860" i="1"/>
  <c r="F860" i="1"/>
  <c r="E860" i="1"/>
  <c r="G859" i="1"/>
  <c r="F859" i="1"/>
  <c r="E859" i="1"/>
  <c r="G858" i="1"/>
  <c r="F858" i="1"/>
  <c r="E858" i="1"/>
  <c r="G857" i="1"/>
  <c r="F857" i="1"/>
  <c r="E857" i="1"/>
  <c r="H857" i="1" s="1"/>
  <c r="I857" i="1" s="1"/>
  <c r="G856" i="1"/>
  <c r="F856" i="1"/>
  <c r="E856" i="1"/>
  <c r="G855" i="1"/>
  <c r="F855" i="1"/>
  <c r="E855" i="1"/>
  <c r="G854" i="1"/>
  <c r="F854" i="1"/>
  <c r="E854" i="1"/>
  <c r="G853" i="1"/>
  <c r="F853" i="1"/>
  <c r="E853" i="1"/>
  <c r="H853" i="1" s="1"/>
  <c r="I853" i="1" s="1"/>
  <c r="G852" i="1"/>
  <c r="F852" i="1"/>
  <c r="E852" i="1"/>
  <c r="G851" i="1"/>
  <c r="F851" i="1"/>
  <c r="H851" i="1" s="1"/>
  <c r="I851" i="1" s="1"/>
  <c r="E851" i="1"/>
  <c r="G850" i="1"/>
  <c r="F850" i="1"/>
  <c r="E850" i="1"/>
  <c r="G849" i="1"/>
  <c r="F849" i="1"/>
  <c r="E849" i="1"/>
  <c r="H849" i="1" s="1"/>
  <c r="I849" i="1" s="1"/>
  <c r="G848" i="1"/>
  <c r="F848" i="1"/>
  <c r="E848" i="1"/>
  <c r="G847" i="1"/>
  <c r="F847" i="1"/>
  <c r="E847" i="1"/>
  <c r="G846" i="1"/>
  <c r="F846" i="1"/>
  <c r="E846" i="1"/>
  <c r="H846" i="1" s="1"/>
  <c r="I846" i="1" s="1"/>
  <c r="G845" i="1"/>
  <c r="F845" i="1"/>
  <c r="E845" i="1"/>
  <c r="H845" i="1" s="1"/>
  <c r="I845" i="1" s="1"/>
  <c r="G844" i="1"/>
  <c r="F844" i="1"/>
  <c r="H844" i="1" s="1"/>
  <c r="I844" i="1" s="1"/>
  <c r="E844" i="1"/>
  <c r="G843" i="1"/>
  <c r="F843" i="1"/>
  <c r="H843" i="1" s="1"/>
  <c r="I843" i="1" s="1"/>
  <c r="E843" i="1"/>
  <c r="G842" i="1"/>
  <c r="F842" i="1"/>
  <c r="E842" i="1"/>
  <c r="G841" i="1"/>
  <c r="F841" i="1"/>
  <c r="E841" i="1"/>
  <c r="H841" i="1" s="1"/>
  <c r="I841" i="1" s="1"/>
  <c r="G840" i="1"/>
  <c r="F840" i="1"/>
  <c r="E840" i="1"/>
  <c r="F835" i="1"/>
  <c r="E835" i="1"/>
  <c r="H835" i="1" s="1"/>
  <c r="I835" i="1" s="1"/>
  <c r="F834" i="1"/>
  <c r="E834" i="1"/>
  <c r="F833" i="1"/>
  <c r="E833" i="1"/>
  <c r="F832" i="1"/>
  <c r="E832" i="1"/>
  <c r="F831" i="1"/>
  <c r="E831" i="1"/>
  <c r="F830" i="1"/>
  <c r="E830" i="1"/>
  <c r="F829" i="1"/>
  <c r="E829" i="1"/>
  <c r="H829" i="1" s="1"/>
  <c r="I829" i="1" s="1"/>
  <c r="F828" i="1"/>
  <c r="E828" i="1"/>
  <c r="H828" i="1" s="1"/>
  <c r="I828" i="1" s="1"/>
  <c r="F827" i="1"/>
  <c r="E827" i="1"/>
  <c r="F826" i="1"/>
  <c r="H826" i="1" s="1"/>
  <c r="I826" i="1" s="1"/>
  <c r="E826" i="1"/>
  <c r="F825" i="1"/>
  <c r="E825" i="1"/>
  <c r="F824" i="1"/>
  <c r="E824" i="1"/>
  <c r="F823" i="1"/>
  <c r="E823" i="1"/>
  <c r="H823" i="1" s="1"/>
  <c r="I823" i="1" s="1"/>
  <c r="F822" i="1"/>
  <c r="E822" i="1"/>
  <c r="F821" i="1"/>
  <c r="E821" i="1"/>
  <c r="G820" i="1"/>
  <c r="F820" i="1"/>
  <c r="E820" i="1"/>
  <c r="H820" i="1" s="1"/>
  <c r="I820" i="1" s="1"/>
  <c r="G819" i="1"/>
  <c r="F819" i="1"/>
  <c r="H819" i="1" s="1"/>
  <c r="I819" i="1" s="1"/>
  <c r="E819" i="1"/>
  <c r="G816" i="1"/>
  <c r="F816" i="1"/>
  <c r="E816" i="1"/>
  <c r="F815" i="1"/>
  <c r="E815" i="1"/>
  <c r="H815" i="1" s="1"/>
  <c r="I815" i="1" s="1"/>
  <c r="F814" i="1"/>
  <c r="E814" i="1"/>
  <c r="F813" i="1"/>
  <c r="E813" i="1"/>
  <c r="H813" i="1" s="1"/>
  <c r="I813" i="1" s="1"/>
  <c r="F812" i="1"/>
  <c r="E812" i="1"/>
  <c r="H812" i="1" s="1"/>
  <c r="I812" i="1" s="1"/>
  <c r="F811" i="1"/>
  <c r="E811" i="1"/>
  <c r="F810" i="1"/>
  <c r="E810" i="1"/>
  <c r="F809" i="1"/>
  <c r="E809" i="1"/>
  <c r="F808" i="1"/>
  <c r="E808" i="1"/>
  <c r="G807" i="1"/>
  <c r="F807" i="1"/>
  <c r="E807" i="1"/>
  <c r="G806" i="1"/>
  <c r="F806" i="1"/>
  <c r="E806" i="1"/>
  <c r="G805" i="1"/>
  <c r="F805" i="1"/>
  <c r="E805" i="1"/>
  <c r="G804" i="1"/>
  <c r="F804" i="1"/>
  <c r="E804" i="1"/>
  <c r="G803" i="1"/>
  <c r="F803" i="1"/>
  <c r="E803" i="1"/>
  <c r="G802" i="1"/>
  <c r="F802" i="1"/>
  <c r="E802" i="1"/>
  <c r="G801" i="1"/>
  <c r="F801" i="1"/>
  <c r="E801" i="1"/>
  <c r="G800" i="1"/>
  <c r="F800" i="1"/>
  <c r="E800" i="1"/>
  <c r="G799" i="1"/>
  <c r="F799" i="1"/>
  <c r="E799" i="1"/>
  <c r="G798" i="1"/>
  <c r="F798" i="1"/>
  <c r="E798" i="1"/>
  <c r="G797" i="1"/>
  <c r="F797" i="1"/>
  <c r="E797" i="1"/>
  <c r="G796" i="1"/>
  <c r="F796" i="1"/>
  <c r="E796" i="1"/>
  <c r="F795" i="1"/>
  <c r="E795" i="1"/>
  <c r="H795" i="1" s="1"/>
  <c r="I795" i="1" s="1"/>
  <c r="G792" i="1"/>
  <c r="F792" i="1"/>
  <c r="E792" i="1"/>
  <c r="G791" i="1"/>
  <c r="F791" i="1"/>
  <c r="E791" i="1"/>
  <c r="G790" i="1"/>
  <c r="F790" i="1"/>
  <c r="E790" i="1"/>
  <c r="G789" i="1"/>
  <c r="F789" i="1"/>
  <c r="E789" i="1"/>
  <c r="H789" i="1" s="1"/>
  <c r="I789" i="1" s="1"/>
  <c r="G788" i="1"/>
  <c r="F788" i="1"/>
  <c r="E788" i="1"/>
  <c r="F787" i="1"/>
  <c r="E787" i="1"/>
  <c r="H787" i="1" s="1"/>
  <c r="I787" i="1" s="1"/>
  <c r="G786" i="1"/>
  <c r="F786" i="1"/>
  <c r="E786" i="1"/>
  <c r="G785" i="1"/>
  <c r="F785" i="1"/>
  <c r="E785" i="1"/>
  <c r="G784" i="1"/>
  <c r="F784" i="1"/>
  <c r="E784" i="1"/>
  <c r="H784" i="1" s="1"/>
  <c r="I784" i="1" s="1"/>
  <c r="F783" i="1"/>
  <c r="E783" i="1"/>
  <c r="G782" i="1"/>
  <c r="F782" i="1"/>
  <c r="E782" i="1"/>
  <c r="G781" i="1"/>
  <c r="F781" i="1"/>
  <c r="E781" i="1"/>
  <c r="F780" i="1"/>
  <c r="E780" i="1"/>
  <c r="H780" i="1" s="1"/>
  <c r="I780" i="1" s="1"/>
  <c r="F779" i="1"/>
  <c r="E779" i="1"/>
  <c r="H779" i="1" s="1"/>
  <c r="I779" i="1" s="1"/>
  <c r="G778" i="1"/>
  <c r="F778" i="1"/>
  <c r="E778" i="1"/>
  <c r="G777" i="1"/>
  <c r="F777" i="1"/>
  <c r="E777" i="1"/>
  <c r="G776" i="1"/>
  <c r="F776" i="1"/>
  <c r="E776" i="1"/>
  <c r="G773" i="1"/>
  <c r="F773" i="1"/>
  <c r="E773" i="1"/>
  <c r="H773" i="1" s="1"/>
  <c r="I773" i="1" s="1"/>
  <c r="G772" i="1"/>
  <c r="F772" i="1"/>
  <c r="E772" i="1"/>
  <c r="F771" i="1"/>
  <c r="E771" i="1"/>
  <c r="G770" i="1"/>
  <c r="F770" i="1"/>
  <c r="E770" i="1"/>
  <c r="G769" i="1"/>
  <c r="F769" i="1"/>
  <c r="E769" i="1"/>
  <c r="F768" i="1"/>
  <c r="E768" i="1"/>
  <c r="G767" i="1"/>
  <c r="F767" i="1"/>
  <c r="E767" i="1"/>
  <c r="F766" i="1"/>
  <c r="E766" i="1"/>
  <c r="G765" i="1"/>
  <c r="F765" i="1"/>
  <c r="E765" i="1"/>
  <c r="F764" i="1"/>
  <c r="E764" i="1"/>
  <c r="G763" i="1"/>
  <c r="F763" i="1"/>
  <c r="E763" i="1"/>
  <c r="F762" i="1"/>
  <c r="E762" i="1"/>
  <c r="F761" i="1"/>
  <c r="H761" i="1" s="1"/>
  <c r="I761" i="1" s="1"/>
  <c r="E761" i="1"/>
  <c r="G760" i="1"/>
  <c r="F760" i="1"/>
  <c r="E760" i="1"/>
  <c r="G759" i="1"/>
  <c r="F759" i="1"/>
  <c r="E759" i="1"/>
  <c r="H759" i="1" s="1"/>
  <c r="I759" i="1" s="1"/>
  <c r="G756" i="1"/>
  <c r="F756" i="1"/>
  <c r="E756" i="1"/>
  <c r="F755" i="1"/>
  <c r="E755" i="1"/>
  <c r="G754" i="1"/>
  <c r="F754" i="1"/>
  <c r="E754" i="1"/>
  <c r="G753" i="1"/>
  <c r="F753" i="1"/>
  <c r="E753" i="1"/>
  <c r="E752" i="1"/>
  <c r="H752" i="1" s="1"/>
  <c r="I752" i="1" s="1"/>
  <c r="F751" i="1"/>
  <c r="E751" i="1"/>
  <c r="F750" i="1"/>
  <c r="E750" i="1"/>
  <c r="G749" i="1"/>
  <c r="F749" i="1"/>
  <c r="E749" i="1"/>
  <c r="G748" i="1"/>
  <c r="F748" i="1"/>
  <c r="E748" i="1"/>
  <c r="H748" i="1" s="1"/>
  <c r="I748" i="1" s="1"/>
  <c r="F747" i="1"/>
  <c r="E747" i="1"/>
  <c r="H747" i="1" s="1"/>
  <c r="I747" i="1" s="1"/>
  <c r="G746" i="1"/>
  <c r="F746" i="1"/>
  <c r="E746" i="1"/>
  <c r="F745" i="1"/>
  <c r="E745" i="1"/>
  <c r="G742" i="1"/>
  <c r="F742" i="1"/>
  <c r="E742" i="1"/>
  <c r="G741" i="1"/>
  <c r="F741" i="1"/>
  <c r="E741" i="1"/>
  <c r="G740" i="1"/>
  <c r="F740" i="1"/>
  <c r="E740" i="1"/>
  <c r="G739" i="1"/>
  <c r="F739" i="1"/>
  <c r="E739" i="1"/>
  <c r="G738" i="1"/>
  <c r="F738" i="1"/>
  <c r="E738" i="1"/>
  <c r="H738" i="1" s="1"/>
  <c r="I738" i="1" s="1"/>
  <c r="F737" i="1"/>
  <c r="E737" i="1"/>
  <c r="H737" i="1" s="1"/>
  <c r="I737" i="1" s="1"/>
  <c r="G736" i="1"/>
  <c r="F736" i="1"/>
  <c r="E736" i="1"/>
  <c r="G735" i="1"/>
  <c r="F735" i="1"/>
  <c r="E735" i="1"/>
  <c r="G732" i="1"/>
  <c r="F732" i="1"/>
  <c r="E732" i="1"/>
  <c r="H732" i="1" s="1"/>
  <c r="I732" i="1" s="1"/>
  <c r="F731" i="1"/>
  <c r="E731" i="1"/>
  <c r="G730" i="1"/>
  <c r="F730" i="1"/>
  <c r="E730" i="1"/>
  <c r="H730" i="1" s="1"/>
  <c r="I730" i="1" s="1"/>
  <c r="G729" i="1"/>
  <c r="F729" i="1"/>
  <c r="E729" i="1"/>
  <c r="G728" i="1"/>
  <c r="F728" i="1"/>
  <c r="E728" i="1"/>
  <c r="G727" i="1"/>
  <c r="F727" i="1"/>
  <c r="E727" i="1"/>
  <c r="G726" i="1"/>
  <c r="F726" i="1"/>
  <c r="E726" i="1"/>
  <c r="H726" i="1" s="1"/>
  <c r="I726" i="1" s="1"/>
  <c r="G725" i="1"/>
  <c r="F725" i="1"/>
  <c r="E725" i="1"/>
  <c r="F724" i="1"/>
  <c r="E724" i="1"/>
  <c r="H724" i="1" s="1"/>
  <c r="I724" i="1" s="1"/>
  <c r="G723" i="1"/>
  <c r="F723" i="1"/>
  <c r="E723" i="1"/>
  <c r="G722" i="1"/>
  <c r="F722" i="1"/>
  <c r="E722" i="1"/>
  <c r="G719" i="1"/>
  <c r="F719" i="1"/>
  <c r="E719" i="1"/>
  <c r="F718" i="1"/>
  <c r="E718" i="1"/>
  <c r="F717" i="1"/>
  <c r="E717" i="1"/>
  <c r="G716" i="1"/>
  <c r="F716" i="1"/>
  <c r="E716" i="1"/>
  <c r="G715" i="1"/>
  <c r="F715" i="1"/>
  <c r="E715" i="1"/>
  <c r="H715" i="1" s="1"/>
  <c r="I715" i="1" s="1"/>
  <c r="G714" i="1"/>
  <c r="F714" i="1"/>
  <c r="E714" i="1"/>
  <c r="F713" i="1"/>
  <c r="E713" i="1"/>
  <c r="G712" i="1"/>
  <c r="F712" i="1"/>
  <c r="E712" i="1"/>
  <c r="G711" i="1"/>
  <c r="F711" i="1"/>
  <c r="E711" i="1"/>
  <c r="G708" i="1"/>
  <c r="F708" i="1"/>
  <c r="E708" i="1"/>
  <c r="F707" i="1"/>
  <c r="E707" i="1"/>
  <c r="G706" i="1"/>
  <c r="F706" i="1"/>
  <c r="E706" i="1"/>
  <c r="G705" i="1"/>
  <c r="F705" i="1"/>
  <c r="E705" i="1"/>
  <c r="H705" i="1" s="1"/>
  <c r="I705" i="1" s="1"/>
  <c r="G704" i="1"/>
  <c r="F704" i="1"/>
  <c r="E704" i="1"/>
  <c r="G703" i="1"/>
  <c r="F703" i="1"/>
  <c r="E703" i="1"/>
  <c r="G702" i="1"/>
  <c r="F702" i="1"/>
  <c r="E702" i="1"/>
  <c r="F701" i="1"/>
  <c r="E701" i="1"/>
  <c r="G700" i="1"/>
  <c r="F700" i="1"/>
  <c r="E700" i="1"/>
  <c r="H700" i="1" s="1"/>
  <c r="I700" i="1" s="1"/>
  <c r="G699" i="1"/>
  <c r="F699" i="1"/>
  <c r="E699" i="1"/>
  <c r="G696" i="1"/>
  <c r="F696" i="1"/>
  <c r="E696" i="1"/>
  <c r="F695" i="1"/>
  <c r="E695" i="1"/>
  <c r="G694" i="1"/>
  <c r="F694" i="1"/>
  <c r="E694" i="1"/>
  <c r="G693" i="1"/>
  <c r="F693" i="1"/>
  <c r="E693" i="1"/>
  <c r="G692" i="1"/>
  <c r="F692" i="1"/>
  <c r="E692" i="1"/>
  <c r="G691" i="1"/>
  <c r="F691" i="1"/>
  <c r="H691" i="1" s="1"/>
  <c r="I691" i="1" s="1"/>
  <c r="E691" i="1"/>
  <c r="F690" i="1"/>
  <c r="E690" i="1"/>
  <c r="H690" i="1" s="1"/>
  <c r="I690" i="1" s="1"/>
  <c r="G689" i="1"/>
  <c r="F689" i="1"/>
  <c r="E689" i="1"/>
  <c r="G688" i="1"/>
  <c r="F688" i="1"/>
  <c r="E688" i="1"/>
  <c r="G685" i="1"/>
  <c r="F685" i="1"/>
  <c r="E685" i="1"/>
  <c r="F684" i="1"/>
  <c r="H684" i="1" s="1"/>
  <c r="I684" i="1" s="1"/>
  <c r="E684" i="1"/>
  <c r="F683" i="1"/>
  <c r="E683" i="1"/>
  <c r="G682" i="1"/>
  <c r="F682" i="1"/>
  <c r="E682" i="1"/>
  <c r="G681" i="1"/>
  <c r="F681" i="1"/>
  <c r="E681" i="1"/>
  <c r="G680" i="1"/>
  <c r="F680" i="1"/>
  <c r="E680" i="1"/>
  <c r="G679" i="1"/>
  <c r="F679" i="1"/>
  <c r="E679" i="1"/>
  <c r="G678" i="1"/>
  <c r="F678" i="1"/>
  <c r="E678" i="1"/>
  <c r="G677" i="1"/>
  <c r="F677" i="1"/>
  <c r="E677" i="1"/>
  <c r="G676" i="1"/>
  <c r="F676" i="1"/>
  <c r="E676" i="1"/>
  <c r="F675" i="1"/>
  <c r="E675" i="1"/>
  <c r="H675" i="1" s="1"/>
  <c r="I675" i="1" s="1"/>
  <c r="G674" i="1"/>
  <c r="F674" i="1"/>
  <c r="H674" i="1" s="1"/>
  <c r="I674" i="1" s="1"/>
  <c r="E674" i="1"/>
  <c r="F673" i="1"/>
  <c r="E673" i="1"/>
  <c r="H673" i="1" s="1"/>
  <c r="I673" i="1" s="1"/>
  <c r="G670" i="1"/>
  <c r="F670" i="1"/>
  <c r="E670" i="1"/>
  <c r="F669" i="1"/>
  <c r="E669" i="1"/>
  <c r="G668" i="1"/>
  <c r="F668" i="1"/>
  <c r="E668" i="1"/>
  <c r="H668" i="1" s="1"/>
  <c r="I668" i="1" s="1"/>
  <c r="G667" i="1"/>
  <c r="F667" i="1"/>
  <c r="E667" i="1"/>
  <c r="G666" i="1"/>
  <c r="F666" i="1"/>
  <c r="E666" i="1"/>
  <c r="G665" i="1"/>
  <c r="F665" i="1"/>
  <c r="H665" i="1" s="1"/>
  <c r="I665" i="1" s="1"/>
  <c r="E665" i="1"/>
  <c r="F664" i="1"/>
  <c r="E664" i="1"/>
  <c r="H664" i="1" s="1"/>
  <c r="I664" i="1" s="1"/>
  <c r="G663" i="1"/>
  <c r="F663" i="1"/>
  <c r="E663" i="1"/>
  <c r="G662" i="1"/>
  <c r="F662" i="1"/>
  <c r="E662" i="1"/>
  <c r="G659" i="1"/>
  <c r="F659" i="1"/>
  <c r="E659" i="1"/>
  <c r="G658" i="1"/>
  <c r="F658" i="1"/>
  <c r="E658" i="1"/>
  <c r="H658" i="1" s="1"/>
  <c r="I658" i="1" s="1"/>
  <c r="G657" i="1"/>
  <c r="F657" i="1"/>
  <c r="E657" i="1"/>
  <c r="G656" i="1"/>
  <c r="F656" i="1"/>
  <c r="E656" i="1"/>
  <c r="G655" i="1"/>
  <c r="F655" i="1"/>
  <c r="E655" i="1"/>
  <c r="G654" i="1"/>
  <c r="F654" i="1"/>
  <c r="E654" i="1"/>
  <c r="H654" i="1" s="1"/>
  <c r="I654" i="1" s="1"/>
  <c r="G653" i="1"/>
  <c r="F653" i="1"/>
  <c r="E653" i="1"/>
  <c r="G652" i="1"/>
  <c r="F652" i="1"/>
  <c r="E652" i="1"/>
  <c r="G651" i="1"/>
  <c r="F651" i="1"/>
  <c r="E651" i="1"/>
  <c r="F650" i="1"/>
  <c r="E650" i="1"/>
  <c r="G649" i="1"/>
  <c r="F649" i="1"/>
  <c r="E649" i="1"/>
  <c r="H649" i="1" s="1"/>
  <c r="I649" i="1" s="1"/>
  <c r="F648" i="1"/>
  <c r="E648" i="1"/>
  <c r="F647" i="1"/>
  <c r="E647" i="1"/>
  <c r="G646" i="1"/>
  <c r="F646" i="1"/>
  <c r="E646" i="1"/>
  <c r="G643" i="1"/>
  <c r="F643" i="1"/>
  <c r="E643" i="1"/>
  <c r="H643" i="1" s="1"/>
  <c r="I643" i="1" s="1"/>
  <c r="G642" i="1"/>
  <c r="F642" i="1"/>
  <c r="E642" i="1"/>
  <c r="E639" i="1"/>
  <c r="H639" i="1" s="1"/>
  <c r="I639" i="1" s="1"/>
  <c r="G638" i="1"/>
  <c r="F638" i="1"/>
  <c r="E638" i="1"/>
  <c r="F634" i="1"/>
  <c r="E634" i="1"/>
  <c r="G633" i="1"/>
  <c r="F633" i="1"/>
  <c r="E633" i="1"/>
  <c r="H633" i="1" s="1"/>
  <c r="I633" i="1" s="1"/>
  <c r="F632" i="1"/>
  <c r="E632" i="1"/>
  <c r="H632" i="1" s="1"/>
  <c r="I632" i="1" s="1"/>
  <c r="F631" i="1"/>
  <c r="E631" i="1"/>
  <c r="G630" i="1"/>
  <c r="F630" i="1"/>
  <c r="E630" i="1"/>
  <c r="F628" i="1"/>
  <c r="E628" i="1"/>
  <c r="F626" i="1"/>
  <c r="H626" i="1" s="1"/>
  <c r="I626" i="1" s="1"/>
  <c r="E626" i="1"/>
  <c r="F625" i="1"/>
  <c r="E625" i="1"/>
  <c r="G624" i="1"/>
  <c r="F624" i="1"/>
  <c r="E624" i="1"/>
  <c r="F623" i="1"/>
  <c r="E623" i="1"/>
  <c r="F621" i="1"/>
  <c r="E621" i="1"/>
  <c r="F620" i="1"/>
  <c r="E620" i="1"/>
  <c r="F619" i="1"/>
  <c r="E619" i="1"/>
  <c r="H619" i="1" s="1"/>
  <c r="I619" i="1" s="1"/>
  <c r="G618" i="1"/>
  <c r="F618" i="1"/>
  <c r="E618" i="1"/>
  <c r="G617" i="1"/>
  <c r="F617" i="1"/>
  <c r="H617" i="1" s="1"/>
  <c r="I617" i="1" s="1"/>
  <c r="E617" i="1"/>
  <c r="F613" i="1"/>
  <c r="E613" i="1"/>
  <c r="G612" i="1"/>
  <c r="F612" i="1"/>
  <c r="E612" i="1"/>
  <c r="G611" i="1"/>
  <c r="F611" i="1"/>
  <c r="E611" i="1"/>
  <c r="H611" i="1" s="1"/>
  <c r="I611" i="1" s="1"/>
  <c r="G610" i="1"/>
  <c r="F610" i="1"/>
  <c r="E610" i="1"/>
  <c r="G609" i="1"/>
  <c r="F609" i="1"/>
  <c r="E609" i="1"/>
  <c r="G608" i="1"/>
  <c r="F608" i="1"/>
  <c r="E608" i="1"/>
  <c r="G607" i="1"/>
  <c r="F607" i="1"/>
  <c r="E607" i="1"/>
  <c r="H607" i="1" s="1"/>
  <c r="I607" i="1" s="1"/>
  <c r="F606" i="1"/>
  <c r="H606" i="1" s="1"/>
  <c r="I606" i="1" s="1"/>
  <c r="G605" i="1"/>
  <c r="F605" i="1"/>
  <c r="H605" i="1" s="1"/>
  <c r="I605" i="1" s="1"/>
  <c r="E605" i="1"/>
  <c r="G604" i="1"/>
  <c r="F604" i="1"/>
  <c r="E604" i="1"/>
  <c r="E603" i="1"/>
  <c r="H603" i="1" s="1"/>
  <c r="I603" i="1" s="1"/>
  <c r="G602" i="1"/>
  <c r="F602" i="1"/>
  <c r="E602" i="1"/>
  <c r="G601" i="1"/>
  <c r="F601" i="1"/>
  <c r="E601" i="1"/>
  <c r="G600" i="1"/>
  <c r="F600" i="1"/>
  <c r="E600" i="1"/>
  <c r="F599" i="1"/>
  <c r="E599" i="1"/>
  <c r="G598" i="1"/>
  <c r="F598" i="1"/>
  <c r="E598" i="1"/>
  <c r="H598" i="1" s="1"/>
  <c r="I598" i="1" s="1"/>
  <c r="F597" i="1"/>
  <c r="E597" i="1"/>
  <c r="H597" i="1" s="1"/>
  <c r="I597" i="1" s="1"/>
  <c r="F596" i="1"/>
  <c r="E596" i="1"/>
  <c r="G595" i="1"/>
  <c r="F595" i="1"/>
  <c r="E595" i="1"/>
  <c r="G594" i="1"/>
  <c r="F594" i="1"/>
  <c r="E594" i="1"/>
  <c r="G593" i="1"/>
  <c r="F593" i="1"/>
  <c r="E593" i="1"/>
  <c r="G592" i="1"/>
  <c r="H592" i="1" s="1"/>
  <c r="I592" i="1" s="1"/>
  <c r="F592" i="1"/>
  <c r="E592" i="1"/>
  <c r="F591" i="1"/>
  <c r="E591" i="1"/>
  <c r="F590" i="1"/>
  <c r="H590" i="1" s="1"/>
  <c r="I590" i="1" s="1"/>
  <c r="G589" i="1"/>
  <c r="F589" i="1"/>
  <c r="E589" i="1"/>
  <c r="F588" i="1"/>
  <c r="E588" i="1"/>
  <c r="H588" i="1" s="1"/>
  <c r="I588" i="1" s="1"/>
  <c r="G587" i="1"/>
  <c r="F587" i="1"/>
  <c r="E587" i="1"/>
  <c r="F586" i="1"/>
  <c r="H586" i="1" s="1"/>
  <c r="I586" i="1" s="1"/>
  <c r="G585" i="1"/>
  <c r="F585" i="1"/>
  <c r="E585" i="1"/>
  <c r="F584" i="1"/>
  <c r="E584" i="1"/>
  <c r="H584" i="1" s="1"/>
  <c r="I584" i="1" s="1"/>
  <c r="G583" i="1"/>
  <c r="F583" i="1"/>
  <c r="E583" i="1"/>
  <c r="H583" i="1" s="1"/>
  <c r="I583" i="1" s="1"/>
  <c r="G582" i="1"/>
  <c r="F582" i="1"/>
  <c r="E582" i="1"/>
  <c r="G581" i="1"/>
  <c r="F581" i="1"/>
  <c r="E581" i="1"/>
  <c r="G580" i="1"/>
  <c r="F580" i="1"/>
  <c r="E580" i="1"/>
  <c r="G579" i="1"/>
  <c r="F579" i="1"/>
  <c r="E579" i="1"/>
  <c r="H579" i="1" s="1"/>
  <c r="I579" i="1" s="1"/>
  <c r="F578" i="1"/>
  <c r="H578" i="1" s="1"/>
  <c r="I578" i="1" s="1"/>
  <c r="G577" i="1"/>
  <c r="F577" i="1"/>
  <c r="E577" i="1"/>
  <c r="F576" i="1"/>
  <c r="E576" i="1"/>
  <c r="F573" i="1"/>
  <c r="E573" i="1"/>
  <c r="F572" i="1"/>
  <c r="E572" i="1"/>
  <c r="F571" i="1"/>
  <c r="E571" i="1"/>
  <c r="H571" i="1" s="1"/>
  <c r="I571" i="1" s="1"/>
  <c r="G570" i="1"/>
  <c r="F570" i="1"/>
  <c r="E570" i="1"/>
  <c r="G569" i="1"/>
  <c r="F569" i="1"/>
  <c r="E569" i="1"/>
  <c r="G568" i="1"/>
  <c r="F568" i="1"/>
  <c r="E568" i="1"/>
  <c r="G567" i="1"/>
  <c r="F567" i="1"/>
  <c r="E567" i="1"/>
  <c r="H567" i="1" s="1"/>
  <c r="I567" i="1" s="1"/>
  <c r="G566" i="1"/>
  <c r="F566" i="1"/>
  <c r="E566" i="1"/>
  <c r="G565" i="1"/>
  <c r="F565" i="1"/>
  <c r="E565" i="1"/>
  <c r="G564" i="1"/>
  <c r="F564" i="1"/>
  <c r="E564" i="1"/>
  <c r="H564" i="1" s="1"/>
  <c r="I564" i="1" s="1"/>
  <c r="F563" i="1"/>
  <c r="E563" i="1"/>
  <c r="G562" i="1"/>
  <c r="F562" i="1"/>
  <c r="E562" i="1"/>
  <c r="H562" i="1" s="1"/>
  <c r="I562" i="1" s="1"/>
  <c r="G561" i="1"/>
  <c r="F561" i="1"/>
  <c r="E561" i="1"/>
  <c r="F560" i="1"/>
  <c r="E560" i="1"/>
  <c r="G559" i="1"/>
  <c r="F559" i="1"/>
  <c r="E559" i="1"/>
  <c r="G558" i="1"/>
  <c r="F558" i="1"/>
  <c r="E558" i="1"/>
  <c r="F557" i="1"/>
  <c r="E557" i="1"/>
  <c r="F554" i="1"/>
  <c r="E554" i="1"/>
  <c r="H554" i="1" s="1"/>
  <c r="I554" i="1" s="1"/>
  <c r="F553" i="1"/>
  <c r="E553" i="1"/>
  <c r="G552" i="1"/>
  <c r="F552" i="1"/>
  <c r="E552" i="1"/>
  <c r="F551" i="1"/>
  <c r="E551" i="1"/>
  <c r="H551" i="1" s="1"/>
  <c r="I551" i="1" s="1"/>
  <c r="G550" i="1"/>
  <c r="F550" i="1"/>
  <c r="E550" i="1"/>
  <c r="G549" i="1"/>
  <c r="F549" i="1"/>
  <c r="E549" i="1"/>
  <c r="G548" i="1"/>
  <c r="F548" i="1"/>
  <c r="E548" i="1"/>
  <c r="G547" i="1"/>
  <c r="F547" i="1"/>
  <c r="E547" i="1"/>
  <c r="H547" i="1" s="1"/>
  <c r="I547" i="1" s="1"/>
  <c r="G546" i="1"/>
  <c r="F546" i="1"/>
  <c r="E546" i="1"/>
  <c r="G543" i="1"/>
  <c r="F543" i="1"/>
  <c r="E543" i="1"/>
  <c r="F542" i="1"/>
  <c r="E542" i="1"/>
  <c r="H542" i="1" s="1"/>
  <c r="I542" i="1" s="1"/>
  <c r="G541" i="1"/>
  <c r="F541" i="1"/>
  <c r="E541" i="1"/>
  <c r="G540" i="1"/>
  <c r="F540" i="1"/>
  <c r="E540" i="1"/>
  <c r="H540" i="1" s="1"/>
  <c r="I540" i="1" s="1"/>
  <c r="G539" i="1"/>
  <c r="F539" i="1"/>
  <c r="E539" i="1"/>
  <c r="G538" i="1"/>
  <c r="F538" i="1"/>
  <c r="E538" i="1"/>
  <c r="G537" i="1"/>
  <c r="F537" i="1"/>
  <c r="E537" i="1"/>
  <c r="G536" i="1"/>
  <c r="F536" i="1"/>
  <c r="E536" i="1"/>
  <c r="H536" i="1" s="1"/>
  <c r="I536" i="1" s="1"/>
  <c r="G535" i="1"/>
  <c r="F535" i="1"/>
  <c r="E535" i="1"/>
  <c r="G534" i="1"/>
  <c r="F534" i="1"/>
  <c r="E534" i="1"/>
  <c r="G533" i="1"/>
  <c r="F533" i="1"/>
  <c r="E533" i="1"/>
  <c r="G532" i="1"/>
  <c r="F532" i="1"/>
  <c r="E532" i="1"/>
  <c r="H532" i="1" s="1"/>
  <c r="I532" i="1" s="1"/>
  <c r="F531" i="1"/>
  <c r="E531" i="1"/>
  <c r="F530" i="1"/>
  <c r="H530" i="1" s="1"/>
  <c r="I530" i="1" s="1"/>
  <c r="E530" i="1"/>
  <c r="G529" i="1"/>
  <c r="F529" i="1"/>
  <c r="E529" i="1"/>
  <c r="F526" i="1"/>
  <c r="E526" i="1"/>
  <c r="F525" i="1"/>
  <c r="E525" i="1"/>
  <c r="G524" i="1"/>
  <c r="F524" i="1"/>
  <c r="E524" i="1"/>
  <c r="G523" i="1"/>
  <c r="F523" i="1"/>
  <c r="E523" i="1"/>
  <c r="G522" i="1"/>
  <c r="F522" i="1"/>
  <c r="E522" i="1"/>
  <c r="G521" i="1"/>
  <c r="F521" i="1"/>
  <c r="E521" i="1"/>
  <c r="G520" i="1"/>
  <c r="F520" i="1"/>
  <c r="E520" i="1"/>
  <c r="G517" i="1"/>
  <c r="F517" i="1"/>
  <c r="E517" i="1"/>
  <c r="G516" i="1"/>
  <c r="F516" i="1"/>
  <c r="H516" i="1" s="1"/>
  <c r="I516" i="1" s="1"/>
  <c r="E516" i="1"/>
  <c r="G515" i="1"/>
  <c r="F515" i="1"/>
  <c r="E515" i="1"/>
  <c r="F514" i="1"/>
  <c r="E514" i="1"/>
  <c r="G511" i="1"/>
  <c r="F511" i="1"/>
  <c r="E511" i="1"/>
  <c r="G510" i="1"/>
  <c r="F510" i="1"/>
  <c r="E510" i="1"/>
  <c r="G508" i="1"/>
  <c r="F508" i="1"/>
  <c r="E508" i="1"/>
  <c r="H508" i="1" s="1"/>
  <c r="I508" i="1" s="1"/>
  <c r="G507" i="1"/>
  <c r="F507" i="1"/>
  <c r="H507" i="1" s="1"/>
  <c r="I507" i="1" s="1"/>
  <c r="E507" i="1"/>
  <c r="G506" i="1"/>
  <c r="F506" i="1"/>
  <c r="E506" i="1"/>
  <c r="F505" i="1"/>
  <c r="E505" i="1"/>
  <c r="G504" i="1"/>
  <c r="F504" i="1"/>
  <c r="E504" i="1"/>
  <c r="G503" i="1"/>
  <c r="F503" i="1"/>
  <c r="E503" i="1"/>
  <c r="H503" i="1" s="1"/>
  <c r="I503" i="1" s="1"/>
  <c r="F502" i="1"/>
  <c r="E502" i="1"/>
  <c r="F501" i="1"/>
  <c r="E501" i="1"/>
  <c r="F500" i="1"/>
  <c r="E500" i="1"/>
  <c r="G499" i="1"/>
  <c r="F499" i="1"/>
  <c r="E499" i="1"/>
  <c r="G498" i="1"/>
  <c r="F498" i="1"/>
  <c r="E498" i="1"/>
  <c r="H498" i="1" s="1"/>
  <c r="I498" i="1" s="1"/>
  <c r="G497" i="1"/>
  <c r="F497" i="1"/>
  <c r="E497" i="1"/>
  <c r="G496" i="1"/>
  <c r="F496" i="1"/>
  <c r="E496" i="1"/>
  <c r="G495" i="1"/>
  <c r="F495" i="1"/>
  <c r="E495" i="1"/>
  <c r="F494" i="1"/>
  <c r="E494" i="1"/>
  <c r="F493" i="1"/>
  <c r="E493" i="1"/>
  <c r="G492" i="1"/>
  <c r="F492" i="1"/>
  <c r="E492" i="1"/>
  <c r="F490" i="1"/>
  <c r="E490" i="1"/>
  <c r="G489" i="1"/>
  <c r="H489" i="1" s="1"/>
  <c r="I489" i="1" s="1"/>
  <c r="F489" i="1"/>
  <c r="E489" i="1"/>
  <c r="G488" i="1"/>
  <c r="F488" i="1"/>
  <c r="E488" i="1"/>
  <c r="H488" i="1" s="1"/>
  <c r="I488" i="1" s="1"/>
  <c r="G487" i="1"/>
  <c r="F487" i="1"/>
  <c r="E487" i="1"/>
  <c r="G486" i="1"/>
  <c r="F486" i="1"/>
  <c r="E486" i="1"/>
  <c r="F485" i="1"/>
  <c r="E485" i="1"/>
  <c r="H485" i="1" s="1"/>
  <c r="I485" i="1" s="1"/>
  <c r="G484" i="1"/>
  <c r="F484" i="1"/>
  <c r="E484" i="1"/>
  <c r="G483" i="1"/>
  <c r="F483" i="1"/>
  <c r="E483" i="1"/>
  <c r="G482" i="1"/>
  <c r="F482" i="1"/>
  <c r="E482" i="1"/>
  <c r="F481" i="1"/>
  <c r="E481" i="1"/>
  <c r="F479" i="1"/>
  <c r="E479" i="1"/>
  <c r="G478" i="1"/>
  <c r="F478" i="1"/>
  <c r="E478" i="1"/>
  <c r="H478" i="1" s="1"/>
  <c r="I478" i="1" s="1"/>
  <c r="G477" i="1"/>
  <c r="F477" i="1"/>
  <c r="E477" i="1"/>
  <c r="G476" i="1"/>
  <c r="F476" i="1"/>
  <c r="E476" i="1"/>
  <c r="G475" i="1"/>
  <c r="F475" i="1"/>
  <c r="E475" i="1"/>
  <c r="F474" i="1"/>
  <c r="E474" i="1"/>
  <c r="G473" i="1"/>
  <c r="F473" i="1"/>
  <c r="E473" i="1"/>
  <c r="G472" i="1"/>
  <c r="F472" i="1"/>
  <c r="E472" i="1"/>
  <c r="G471" i="1"/>
  <c r="F471" i="1"/>
  <c r="E471" i="1"/>
  <c r="G470" i="1"/>
  <c r="F470" i="1"/>
  <c r="E470" i="1"/>
  <c r="G469" i="1"/>
  <c r="F469" i="1"/>
  <c r="E469" i="1"/>
  <c r="F468" i="1"/>
  <c r="E468" i="1"/>
  <c r="E464" i="1"/>
  <c r="H464" i="1" s="1"/>
  <c r="I464" i="1" s="1"/>
  <c r="F463" i="1"/>
  <c r="E463" i="1"/>
  <c r="F462" i="1"/>
  <c r="E462" i="1"/>
  <c r="G461" i="1"/>
  <c r="F461" i="1"/>
  <c r="E461" i="1"/>
  <c r="H461" i="1" s="1"/>
  <c r="I461" i="1" s="1"/>
  <c r="G459" i="1"/>
  <c r="F459" i="1"/>
  <c r="E459" i="1"/>
  <c r="G458" i="1"/>
  <c r="F458" i="1"/>
  <c r="E458" i="1"/>
  <c r="G456" i="1"/>
  <c r="F456" i="1"/>
  <c r="E456" i="1"/>
  <c r="G455" i="1"/>
  <c r="F455" i="1"/>
  <c r="E455" i="1"/>
  <c r="H455" i="1" s="1"/>
  <c r="I455" i="1" s="1"/>
  <c r="G454" i="1"/>
  <c r="F454" i="1"/>
  <c r="E454" i="1"/>
  <c r="G453" i="1"/>
  <c r="F453" i="1"/>
  <c r="E453" i="1"/>
  <c r="G452" i="1"/>
  <c r="F452" i="1"/>
  <c r="E452" i="1"/>
  <c r="G451" i="1"/>
  <c r="F451" i="1"/>
  <c r="E451" i="1"/>
  <c r="H451" i="1" s="1"/>
  <c r="I451" i="1" s="1"/>
  <c r="G450" i="1"/>
  <c r="F450" i="1"/>
  <c r="E450" i="1"/>
  <c r="G449" i="1"/>
  <c r="F449" i="1"/>
  <c r="E449" i="1"/>
  <c r="F448" i="1"/>
  <c r="E448" i="1"/>
  <c r="G447" i="1"/>
  <c r="F447" i="1"/>
  <c r="H447" i="1" s="1"/>
  <c r="I447" i="1" s="1"/>
  <c r="E447" i="1"/>
  <c r="G446" i="1"/>
  <c r="F446" i="1"/>
  <c r="E446" i="1"/>
  <c r="G445" i="1"/>
  <c r="F445" i="1"/>
  <c r="E445" i="1"/>
  <c r="G444" i="1"/>
  <c r="F444" i="1"/>
  <c r="E444" i="1"/>
  <c r="G443" i="1"/>
  <c r="F443" i="1"/>
  <c r="E443" i="1"/>
  <c r="H443" i="1" s="1"/>
  <c r="I443" i="1" s="1"/>
  <c r="G442" i="1"/>
  <c r="F442" i="1"/>
  <c r="E442" i="1"/>
  <c r="G441" i="1"/>
  <c r="F441" i="1"/>
  <c r="E441" i="1"/>
  <c r="F440" i="1"/>
  <c r="E440" i="1"/>
  <c r="F439" i="1"/>
  <c r="E439" i="1"/>
  <c r="F438" i="1"/>
  <c r="E438" i="1"/>
  <c r="G437" i="1"/>
  <c r="F437" i="1"/>
  <c r="E437" i="1"/>
  <c r="G436" i="1"/>
  <c r="F436" i="1"/>
  <c r="E436" i="1"/>
  <c r="G435" i="1"/>
  <c r="F435" i="1"/>
  <c r="E435" i="1"/>
  <c r="F434" i="1"/>
  <c r="E434" i="1"/>
  <c r="H434" i="1" s="1"/>
  <c r="I434" i="1" s="1"/>
  <c r="F433" i="1"/>
  <c r="E433" i="1"/>
  <c r="H433" i="1" s="1"/>
  <c r="I433" i="1" s="1"/>
  <c r="G432" i="1"/>
  <c r="F432" i="1"/>
  <c r="E432" i="1"/>
  <c r="G431" i="1"/>
  <c r="F431" i="1"/>
  <c r="E431" i="1"/>
  <c r="G430" i="1"/>
  <c r="F430" i="1"/>
  <c r="E430" i="1"/>
  <c r="G429" i="1"/>
  <c r="F429" i="1"/>
  <c r="E429" i="1"/>
  <c r="H429" i="1" s="1"/>
  <c r="I429" i="1" s="1"/>
  <c r="F428" i="1"/>
  <c r="E428" i="1"/>
  <c r="G427" i="1"/>
  <c r="F427" i="1"/>
  <c r="E427" i="1"/>
  <c r="G426" i="1"/>
  <c r="F426" i="1"/>
  <c r="E426" i="1"/>
  <c r="G422" i="1"/>
  <c r="F422" i="1"/>
  <c r="H422" i="1" s="1"/>
  <c r="I422" i="1" s="1"/>
  <c r="E422" i="1"/>
  <c r="E421" i="1"/>
  <c r="H421" i="1" s="1"/>
  <c r="I421" i="1" s="1"/>
  <c r="E420" i="1"/>
  <c r="H420" i="1" s="1"/>
  <c r="I420" i="1" s="1"/>
  <c r="E419" i="1"/>
  <c r="H419" i="1" s="1"/>
  <c r="I419" i="1" s="1"/>
  <c r="E418" i="1"/>
  <c r="H418" i="1" s="1"/>
  <c r="I418" i="1" s="1"/>
  <c r="E417" i="1"/>
  <c r="H417" i="1" s="1"/>
  <c r="I417" i="1" s="1"/>
  <c r="E416" i="1"/>
  <c r="H416" i="1" s="1"/>
  <c r="I416" i="1" s="1"/>
  <c r="E410" i="1"/>
  <c r="H410" i="1" s="1"/>
  <c r="I410" i="1" s="1"/>
  <c r="E409" i="1"/>
  <c r="H409" i="1" s="1"/>
  <c r="I409" i="1" s="1"/>
  <c r="E408" i="1"/>
  <c r="H408" i="1" s="1"/>
  <c r="I408" i="1" s="1"/>
  <c r="E407" i="1"/>
  <c r="H407" i="1" s="1"/>
  <c r="I407" i="1" s="1"/>
  <c r="E406" i="1"/>
  <c r="H406" i="1" s="1"/>
  <c r="I406" i="1" s="1"/>
  <c r="E405" i="1"/>
  <c r="H405" i="1" s="1"/>
  <c r="I405" i="1" s="1"/>
  <c r="E404" i="1"/>
  <c r="H404" i="1" s="1"/>
  <c r="I404" i="1" s="1"/>
  <c r="E403" i="1"/>
  <c r="H403" i="1" s="1"/>
  <c r="I403" i="1" s="1"/>
  <c r="E402" i="1"/>
  <c r="H402" i="1" s="1"/>
  <c r="I402" i="1" s="1"/>
  <c r="E401" i="1"/>
  <c r="H401" i="1" s="1"/>
  <c r="I401" i="1" s="1"/>
  <c r="E400" i="1"/>
  <c r="H400" i="1" s="1"/>
  <c r="I400" i="1" s="1"/>
  <c r="E399" i="1"/>
  <c r="H399" i="1" s="1"/>
  <c r="I399" i="1" s="1"/>
  <c r="E398" i="1"/>
  <c r="H398" i="1" s="1"/>
  <c r="I398" i="1" s="1"/>
  <c r="E397" i="1"/>
  <c r="H397" i="1" s="1"/>
  <c r="I397" i="1" s="1"/>
  <c r="E396" i="1"/>
  <c r="E395" i="1"/>
  <c r="H395" i="1" s="1"/>
  <c r="I395" i="1" s="1"/>
  <c r="E394" i="1"/>
  <c r="H394" i="1" s="1"/>
  <c r="I394" i="1" s="1"/>
  <c r="E393" i="1"/>
  <c r="H393" i="1" s="1"/>
  <c r="I393" i="1" s="1"/>
  <c r="E392" i="1"/>
  <c r="H392" i="1" s="1"/>
  <c r="I392" i="1" s="1"/>
  <c r="E391" i="1"/>
  <c r="H391" i="1" s="1"/>
  <c r="I391" i="1" s="1"/>
  <c r="E390" i="1"/>
  <c r="H390" i="1" s="1"/>
  <c r="I390" i="1" s="1"/>
  <c r="E389" i="1"/>
  <c r="H389" i="1" s="1"/>
  <c r="I389" i="1" s="1"/>
  <c r="E388" i="1"/>
  <c r="H388" i="1" s="1"/>
  <c r="I388" i="1" s="1"/>
  <c r="E387" i="1"/>
  <c r="H387" i="1" s="1"/>
  <c r="I387" i="1" s="1"/>
  <c r="E386" i="1"/>
  <c r="H386" i="1" s="1"/>
  <c r="I386" i="1" s="1"/>
  <c r="E385" i="1"/>
  <c r="H385" i="1" s="1"/>
  <c r="I385" i="1" s="1"/>
  <c r="E384" i="1"/>
  <c r="H384" i="1" s="1"/>
  <c r="I384" i="1" s="1"/>
  <c r="E383" i="1"/>
  <c r="H383" i="1" s="1"/>
  <c r="I383" i="1" s="1"/>
  <c r="E382" i="1"/>
  <c r="H382" i="1" s="1"/>
  <c r="I382" i="1" s="1"/>
  <c r="F379" i="1"/>
  <c r="E379" i="1"/>
  <c r="H379" i="1" s="1"/>
  <c r="I379" i="1" s="1"/>
  <c r="F378" i="1"/>
  <c r="E378" i="1"/>
  <c r="E377" i="1"/>
  <c r="H377" i="1" s="1"/>
  <c r="I377" i="1" s="1"/>
  <c r="E376" i="1"/>
  <c r="H376" i="1" s="1"/>
  <c r="I376" i="1" s="1"/>
  <c r="G375" i="1"/>
  <c r="F375" i="1"/>
  <c r="E375" i="1"/>
  <c r="G374" i="1"/>
  <c r="F374" i="1"/>
  <c r="E374" i="1"/>
  <c r="H374" i="1" s="1"/>
  <c r="I374" i="1" s="1"/>
  <c r="E371" i="1"/>
  <c r="H371" i="1" s="1"/>
  <c r="I371" i="1" s="1"/>
  <c r="E370" i="1"/>
  <c r="H370" i="1" s="1"/>
  <c r="I370" i="1" s="1"/>
  <c r="E369" i="1"/>
  <c r="H369" i="1" s="1"/>
  <c r="I369" i="1" s="1"/>
  <c r="E368" i="1"/>
  <c r="H368" i="1" s="1"/>
  <c r="I368" i="1" s="1"/>
  <c r="E367" i="1"/>
  <c r="H367" i="1" s="1"/>
  <c r="I367" i="1" s="1"/>
  <c r="E366" i="1"/>
  <c r="H366" i="1" s="1"/>
  <c r="I366" i="1" s="1"/>
  <c r="E365" i="1"/>
  <c r="H365" i="1" s="1"/>
  <c r="I365" i="1" s="1"/>
  <c r="E362" i="1"/>
  <c r="H362" i="1" s="1"/>
  <c r="I362" i="1" s="1"/>
  <c r="E361" i="1"/>
  <c r="H361" i="1" s="1"/>
  <c r="I361" i="1" s="1"/>
  <c r="E360" i="1"/>
  <c r="H360" i="1" s="1"/>
  <c r="I360" i="1" s="1"/>
  <c r="E359" i="1"/>
  <c r="E358" i="1"/>
  <c r="H358" i="1" s="1"/>
  <c r="I358" i="1" s="1"/>
  <c r="E357" i="1"/>
  <c r="H357" i="1" s="1"/>
  <c r="I357" i="1" s="1"/>
  <c r="E356" i="1"/>
  <c r="H356" i="1" s="1"/>
  <c r="I356" i="1" s="1"/>
  <c r="E355" i="1"/>
  <c r="H355" i="1" s="1"/>
  <c r="I355" i="1" s="1"/>
  <c r="E354" i="1"/>
  <c r="H354" i="1" s="1"/>
  <c r="I354" i="1" s="1"/>
  <c r="E353" i="1"/>
  <c r="H353" i="1" s="1"/>
  <c r="I353" i="1" s="1"/>
  <c r="E352" i="1"/>
  <c r="H352" i="1" s="1"/>
  <c r="I352" i="1" s="1"/>
  <c r="E351" i="1"/>
  <c r="H351" i="1" s="1"/>
  <c r="I351" i="1" s="1"/>
  <c r="E350" i="1"/>
  <c r="H350" i="1" s="1"/>
  <c r="I350" i="1" s="1"/>
  <c r="E349" i="1"/>
  <c r="H349" i="1" s="1"/>
  <c r="I349" i="1" s="1"/>
  <c r="E348" i="1"/>
  <c r="H348" i="1" s="1"/>
  <c r="I348" i="1" s="1"/>
  <c r="E347" i="1"/>
  <c r="H347" i="1" s="1"/>
  <c r="I347" i="1" s="1"/>
  <c r="E346" i="1"/>
  <c r="H346" i="1" s="1"/>
  <c r="I346" i="1" s="1"/>
  <c r="E345" i="1"/>
  <c r="H345" i="1" s="1"/>
  <c r="I345" i="1" s="1"/>
  <c r="G342" i="1"/>
  <c r="F342" i="1"/>
  <c r="E342" i="1"/>
  <c r="G341" i="1"/>
  <c r="F341" i="1"/>
  <c r="E341" i="1"/>
  <c r="G340" i="1"/>
  <c r="F340" i="1"/>
  <c r="E340" i="1"/>
  <c r="G339" i="1"/>
  <c r="F339" i="1"/>
  <c r="E339" i="1"/>
  <c r="G338" i="1"/>
  <c r="F338" i="1"/>
  <c r="E338" i="1"/>
  <c r="G337" i="1"/>
  <c r="F337" i="1"/>
  <c r="E337" i="1"/>
  <c r="G334" i="1"/>
  <c r="F334" i="1"/>
  <c r="E334" i="1"/>
  <c r="G333" i="1"/>
  <c r="F333" i="1"/>
  <c r="E333" i="1"/>
  <c r="G332" i="1"/>
  <c r="F332" i="1"/>
  <c r="E332" i="1"/>
  <c r="G329" i="1"/>
  <c r="F329" i="1"/>
  <c r="E329" i="1"/>
  <c r="G328" i="1"/>
  <c r="F328" i="1"/>
  <c r="E328" i="1"/>
  <c r="G327" i="1"/>
  <c r="F327" i="1"/>
  <c r="E327" i="1"/>
  <c r="G326" i="1"/>
  <c r="F326" i="1"/>
  <c r="E326" i="1"/>
  <c r="G325" i="1"/>
  <c r="F325" i="1"/>
  <c r="E325" i="1"/>
  <c r="G324" i="1"/>
  <c r="F324" i="1"/>
  <c r="E324" i="1"/>
  <c r="G323" i="1"/>
  <c r="F323" i="1"/>
  <c r="E323" i="1"/>
  <c r="G322" i="1"/>
  <c r="F322" i="1"/>
  <c r="E322" i="1"/>
  <c r="G321" i="1"/>
  <c r="F321" i="1"/>
  <c r="E321" i="1"/>
  <c r="G320" i="1"/>
  <c r="F320" i="1"/>
  <c r="E320" i="1"/>
  <c r="G319" i="1"/>
  <c r="F319" i="1"/>
  <c r="E319" i="1"/>
  <c r="G316" i="1"/>
  <c r="F316" i="1"/>
  <c r="E316" i="1"/>
  <c r="G315" i="1"/>
  <c r="F315" i="1"/>
  <c r="E315" i="1"/>
  <c r="G314" i="1"/>
  <c r="F314" i="1"/>
  <c r="E314" i="1"/>
  <c r="H314" i="1" s="1"/>
  <c r="I314" i="1" s="1"/>
  <c r="G313" i="1"/>
  <c r="F313" i="1"/>
  <c r="E313" i="1"/>
  <c r="G312" i="1"/>
  <c r="F312" i="1"/>
  <c r="E312" i="1"/>
  <c r="G311" i="1"/>
  <c r="F311" i="1"/>
  <c r="E311" i="1"/>
  <c r="G310" i="1"/>
  <c r="F310" i="1"/>
  <c r="E310" i="1"/>
  <c r="G309" i="1"/>
  <c r="F309" i="1"/>
  <c r="E309" i="1"/>
  <c r="G308" i="1"/>
  <c r="F308" i="1"/>
  <c r="E308" i="1"/>
  <c r="G307" i="1"/>
  <c r="F307" i="1"/>
  <c r="E307" i="1"/>
  <c r="G306" i="1"/>
  <c r="F306" i="1"/>
  <c r="E306" i="1"/>
  <c r="G305" i="1"/>
  <c r="F305" i="1"/>
  <c r="E305" i="1"/>
  <c r="G301" i="1"/>
  <c r="F301" i="1"/>
  <c r="E301" i="1"/>
  <c r="G300" i="1"/>
  <c r="F300" i="1"/>
  <c r="E300" i="1"/>
  <c r="F299" i="1"/>
  <c r="E299" i="1"/>
  <c r="F298" i="1"/>
  <c r="E298" i="1"/>
  <c r="H298" i="1" s="1"/>
  <c r="I298" i="1" s="1"/>
  <c r="G297" i="1"/>
  <c r="F297" i="1"/>
  <c r="E297" i="1"/>
  <c r="H297" i="1" s="1"/>
  <c r="I297" i="1" s="1"/>
  <c r="E296" i="1"/>
  <c r="H296" i="1" s="1"/>
  <c r="I296" i="1" s="1"/>
  <c r="G295" i="1"/>
  <c r="F295" i="1"/>
  <c r="E295" i="1"/>
  <c r="G294" i="1"/>
  <c r="F294" i="1"/>
  <c r="E294" i="1"/>
  <c r="G293" i="1"/>
  <c r="F293" i="1"/>
  <c r="E293" i="1"/>
  <c r="H293" i="1" s="1"/>
  <c r="I293" i="1" s="1"/>
  <c r="G292" i="1"/>
  <c r="F292" i="1"/>
  <c r="E292" i="1"/>
  <c r="G291" i="1"/>
  <c r="F291" i="1"/>
  <c r="E291" i="1"/>
  <c r="G290" i="1"/>
  <c r="F290" i="1"/>
  <c r="E290" i="1"/>
  <c r="F289" i="1"/>
  <c r="E289" i="1"/>
  <c r="H289" i="1" s="1"/>
  <c r="I289" i="1" s="1"/>
  <c r="G288" i="1"/>
  <c r="F288" i="1"/>
  <c r="E288" i="1"/>
  <c r="H288" i="1" s="1"/>
  <c r="I288" i="1" s="1"/>
  <c r="F287" i="1"/>
  <c r="E287" i="1"/>
  <c r="G286" i="1"/>
  <c r="F286" i="1"/>
  <c r="E286" i="1"/>
  <c r="F285" i="1"/>
  <c r="E285" i="1"/>
  <c r="G284" i="1"/>
  <c r="F284" i="1"/>
  <c r="E284" i="1"/>
  <c r="H284" i="1" s="1"/>
  <c r="I284" i="1" s="1"/>
  <c r="F283" i="1"/>
  <c r="E283" i="1"/>
  <c r="H283" i="1" s="1"/>
  <c r="I283" i="1" s="1"/>
  <c r="F282" i="1"/>
  <c r="E282" i="1"/>
  <c r="F281" i="1"/>
  <c r="E281" i="1"/>
  <c r="F280" i="1"/>
  <c r="E280" i="1"/>
  <c r="G277" i="1"/>
  <c r="F277" i="1"/>
  <c r="E277" i="1"/>
  <c r="G276" i="1"/>
  <c r="F276" i="1"/>
  <c r="E276" i="1"/>
  <c r="H276" i="1" s="1"/>
  <c r="I276" i="1" s="1"/>
  <c r="G275" i="1"/>
  <c r="F275" i="1"/>
  <c r="E275" i="1"/>
  <c r="G272" i="1"/>
  <c r="F272" i="1"/>
  <c r="E272" i="1"/>
  <c r="G271" i="1"/>
  <c r="F271" i="1"/>
  <c r="E271" i="1"/>
  <c r="G270" i="1"/>
  <c r="F270" i="1"/>
  <c r="E270" i="1"/>
  <c r="H270" i="1" s="1"/>
  <c r="I270" i="1" s="1"/>
  <c r="G269" i="1"/>
  <c r="F269" i="1"/>
  <c r="E269" i="1"/>
  <c r="G268" i="1"/>
  <c r="F268" i="1"/>
  <c r="E268" i="1"/>
  <c r="E265" i="1"/>
  <c r="H265" i="1" s="1"/>
  <c r="I265" i="1" s="1"/>
  <c r="E264" i="1"/>
  <c r="E263" i="1"/>
  <c r="E262" i="1"/>
  <c r="H262" i="1" s="1"/>
  <c r="I262" i="1" s="1"/>
  <c r="E261" i="1"/>
  <c r="H261" i="1" s="1"/>
  <c r="I261" i="1" s="1"/>
  <c r="E260" i="1"/>
  <c r="H260" i="1" s="1"/>
  <c r="I260" i="1" s="1"/>
  <c r="E259" i="1"/>
  <c r="H259" i="1" s="1"/>
  <c r="I259" i="1" s="1"/>
  <c r="E258" i="1"/>
  <c r="H258" i="1" s="1"/>
  <c r="I258" i="1" s="1"/>
  <c r="E257" i="1"/>
  <c r="H257" i="1" s="1"/>
  <c r="I257" i="1" s="1"/>
  <c r="E256" i="1"/>
  <c r="H256" i="1" s="1"/>
  <c r="I256" i="1" s="1"/>
  <c r="E255" i="1"/>
  <c r="H255" i="1" s="1"/>
  <c r="I255" i="1" s="1"/>
  <c r="E254" i="1"/>
  <c r="H254" i="1" s="1"/>
  <c r="I254" i="1" s="1"/>
  <c r="E253" i="1"/>
  <c r="H253" i="1" s="1"/>
  <c r="I253" i="1" s="1"/>
  <c r="E252" i="1"/>
  <c r="H252" i="1" s="1"/>
  <c r="I252" i="1" s="1"/>
  <c r="E250" i="1"/>
  <c r="H250" i="1" s="1"/>
  <c r="I250" i="1" s="1"/>
  <c r="E249" i="1"/>
  <c r="H249" i="1" s="1"/>
  <c r="I249" i="1" s="1"/>
  <c r="I248" i="1" s="1"/>
  <c r="E245" i="1"/>
  <c r="H245" i="1" s="1"/>
  <c r="I245" i="1" s="1"/>
  <c r="E244" i="1"/>
  <c r="H244" i="1" s="1"/>
  <c r="I244" i="1" s="1"/>
  <c r="E243" i="1"/>
  <c r="H243" i="1" s="1"/>
  <c r="I243" i="1" s="1"/>
  <c r="F240" i="1"/>
  <c r="E240" i="1"/>
  <c r="H240" i="1" s="1"/>
  <c r="I240" i="1" s="1"/>
  <c r="F239" i="1"/>
  <c r="E239" i="1"/>
  <c r="F238" i="1"/>
  <c r="E238" i="1"/>
  <c r="G235" i="1"/>
  <c r="F235" i="1"/>
  <c r="E235" i="1"/>
  <c r="F232" i="1"/>
  <c r="E232" i="1"/>
  <c r="H232" i="1" s="1"/>
  <c r="I232" i="1" s="1"/>
  <c r="G231" i="1"/>
  <c r="F231" i="1"/>
  <c r="E231" i="1"/>
  <c r="G230" i="1"/>
  <c r="F230" i="1"/>
  <c r="E230" i="1"/>
  <c r="F229" i="1"/>
  <c r="E229" i="1"/>
  <c r="F228" i="1"/>
  <c r="E228" i="1"/>
  <c r="H228" i="1" s="1"/>
  <c r="I228" i="1" s="1"/>
  <c r="G227" i="1"/>
  <c r="F227" i="1"/>
  <c r="E227" i="1"/>
  <c r="G226" i="1"/>
  <c r="F226" i="1"/>
  <c r="E226" i="1"/>
  <c r="G225" i="1"/>
  <c r="F225" i="1"/>
  <c r="E225" i="1"/>
  <c r="G224" i="1"/>
  <c r="F224" i="1"/>
  <c r="E224" i="1"/>
  <c r="H224" i="1" s="1"/>
  <c r="I224" i="1" s="1"/>
  <c r="F223" i="1"/>
  <c r="E223" i="1"/>
  <c r="H223" i="1" s="1"/>
  <c r="I223" i="1" s="1"/>
  <c r="G220" i="1"/>
  <c r="F220" i="1"/>
  <c r="E220" i="1"/>
  <c r="G219" i="1"/>
  <c r="F219" i="1"/>
  <c r="E219" i="1"/>
  <c r="H219" i="1" s="1"/>
  <c r="I219" i="1" s="1"/>
  <c r="G218" i="1"/>
  <c r="F218" i="1"/>
  <c r="E218" i="1"/>
  <c r="F217" i="1"/>
  <c r="E217" i="1"/>
  <c r="G216" i="1"/>
  <c r="F216" i="1"/>
  <c r="E216" i="1"/>
  <c r="G215" i="1"/>
  <c r="F215" i="1"/>
  <c r="E215" i="1"/>
  <c r="G214" i="1"/>
  <c r="F214" i="1"/>
  <c r="E214" i="1"/>
  <c r="G213" i="1"/>
  <c r="F213" i="1"/>
  <c r="E213" i="1"/>
  <c r="G212" i="1"/>
  <c r="F212" i="1"/>
  <c r="E212" i="1"/>
  <c r="G211" i="1"/>
  <c r="F211" i="1"/>
  <c r="E211" i="1"/>
  <c r="G208" i="1"/>
  <c r="F208" i="1"/>
  <c r="E208" i="1"/>
  <c r="G207" i="1"/>
  <c r="F207" i="1"/>
  <c r="E207" i="1"/>
  <c r="G206" i="1"/>
  <c r="F206" i="1"/>
  <c r="E206" i="1"/>
  <c r="G205" i="1"/>
  <c r="F205" i="1"/>
  <c r="E205" i="1"/>
  <c r="G201" i="1"/>
  <c r="F201" i="1"/>
  <c r="E201" i="1"/>
  <c r="G200" i="1"/>
  <c r="F200" i="1"/>
  <c r="E200" i="1"/>
  <c r="G199" i="1"/>
  <c r="F199" i="1"/>
  <c r="E199" i="1"/>
  <c r="G198" i="1"/>
  <c r="F198" i="1"/>
  <c r="E198" i="1"/>
  <c r="E195" i="1"/>
  <c r="H195" i="1" s="1"/>
  <c r="I195" i="1" s="1"/>
  <c r="F194" i="1"/>
  <c r="E194" i="1"/>
  <c r="G193" i="1"/>
  <c r="F193" i="1"/>
  <c r="E193" i="1"/>
  <c r="G192" i="1"/>
  <c r="F192" i="1"/>
  <c r="E192" i="1"/>
  <c r="G191" i="1"/>
  <c r="F191" i="1"/>
  <c r="E191" i="1"/>
  <c r="G190" i="1"/>
  <c r="F190" i="1"/>
  <c r="E190" i="1"/>
  <c r="G189" i="1"/>
  <c r="F189" i="1"/>
  <c r="E189" i="1"/>
  <c r="G188" i="1"/>
  <c r="F188" i="1"/>
  <c r="E188" i="1"/>
  <c r="E185" i="1"/>
  <c r="H185" i="1" s="1"/>
  <c r="I185" i="1" s="1"/>
  <c r="E184" i="1"/>
  <c r="G181" i="1"/>
  <c r="F181" i="1"/>
  <c r="E181" i="1"/>
  <c r="E180" i="1"/>
  <c r="H180" i="1" s="1"/>
  <c r="I180" i="1" s="1"/>
  <c r="G179" i="1"/>
  <c r="F179" i="1"/>
  <c r="E179" i="1"/>
  <c r="F178" i="1"/>
  <c r="E178" i="1"/>
  <c r="G177" i="1"/>
  <c r="F177" i="1"/>
  <c r="E177" i="1"/>
  <c r="G176" i="1"/>
  <c r="F176" i="1"/>
  <c r="E176" i="1"/>
  <c r="G175" i="1"/>
  <c r="F175" i="1"/>
  <c r="E175" i="1"/>
  <c r="H175" i="1" s="1"/>
  <c r="I175" i="1" s="1"/>
  <c r="E171" i="1"/>
  <c r="H171" i="1" s="1"/>
  <c r="I171" i="1" s="1"/>
  <c r="G170" i="1"/>
  <c r="F170" i="1"/>
  <c r="E170" i="1"/>
  <c r="E169" i="1"/>
  <c r="H169" i="1" s="1"/>
  <c r="I169" i="1" s="1"/>
  <c r="F166" i="1"/>
  <c r="E166" i="1"/>
  <c r="F165" i="1"/>
  <c r="H165" i="1" s="1"/>
  <c r="I165" i="1" s="1"/>
  <c r="E164" i="1"/>
  <c r="H164" i="1" s="1"/>
  <c r="I164" i="1" s="1"/>
  <c r="G163" i="1"/>
  <c r="F163" i="1"/>
  <c r="E163" i="1"/>
  <c r="H163" i="1" s="1"/>
  <c r="I163" i="1" s="1"/>
  <c r="G162" i="1"/>
  <c r="F162" i="1"/>
  <c r="E162" i="1"/>
  <c r="G161" i="1"/>
  <c r="F161" i="1"/>
  <c r="E161" i="1"/>
  <c r="G160" i="1"/>
  <c r="F160" i="1"/>
  <c r="E160" i="1"/>
  <c r="G159" i="1"/>
  <c r="F159" i="1"/>
  <c r="E159" i="1"/>
  <c r="H159" i="1" s="1"/>
  <c r="I159" i="1" s="1"/>
  <c r="G158" i="1"/>
  <c r="F158" i="1"/>
  <c r="E158" i="1"/>
  <c r="H158" i="1" s="1"/>
  <c r="I158" i="1" s="1"/>
  <c r="G157" i="1"/>
  <c r="F157" i="1"/>
  <c r="H157" i="1" s="1"/>
  <c r="I157" i="1" s="1"/>
  <c r="E157" i="1"/>
  <c r="G156" i="1"/>
  <c r="F156" i="1"/>
  <c r="E156" i="1"/>
  <c r="G155" i="1"/>
  <c r="F155" i="1"/>
  <c r="E155" i="1"/>
  <c r="H155" i="1" s="1"/>
  <c r="I155" i="1" s="1"/>
  <c r="G154" i="1"/>
  <c r="F154" i="1"/>
  <c r="E154" i="1"/>
  <c r="H154" i="1" s="1"/>
  <c r="I154" i="1" s="1"/>
  <c r="G151" i="1"/>
  <c r="F151" i="1"/>
  <c r="E151" i="1"/>
  <c r="F150" i="1"/>
  <c r="E150" i="1"/>
  <c r="F149" i="1"/>
  <c r="E149" i="1"/>
  <c r="F148" i="1"/>
  <c r="E148" i="1"/>
  <c r="H148" i="1" s="1"/>
  <c r="I148" i="1" s="1"/>
  <c r="F147" i="1"/>
  <c r="H147" i="1" s="1"/>
  <c r="I147" i="1" s="1"/>
  <c r="E146" i="1"/>
  <c r="H146" i="1" s="1"/>
  <c r="I146" i="1" s="1"/>
  <c r="G145" i="1"/>
  <c r="F145" i="1"/>
  <c r="E145" i="1"/>
  <c r="G144" i="1"/>
  <c r="F144" i="1"/>
  <c r="E144" i="1"/>
  <c r="G143" i="1"/>
  <c r="F143" i="1"/>
  <c r="E143" i="1"/>
  <c r="G142" i="1"/>
  <c r="F142" i="1"/>
  <c r="E142" i="1"/>
  <c r="H142" i="1" s="1"/>
  <c r="I142" i="1" s="1"/>
  <c r="G141" i="1"/>
  <c r="F141" i="1"/>
  <c r="E141" i="1"/>
  <c r="G140" i="1"/>
  <c r="F140" i="1"/>
  <c r="E140" i="1"/>
  <c r="G139" i="1"/>
  <c r="F139" i="1"/>
  <c r="E139" i="1"/>
  <c r="H139" i="1" s="1"/>
  <c r="I139" i="1" s="1"/>
  <c r="G138" i="1"/>
  <c r="F138" i="1"/>
  <c r="E138" i="1"/>
  <c r="H138" i="1" s="1"/>
  <c r="I138" i="1" s="1"/>
  <c r="G137" i="1"/>
  <c r="F137" i="1"/>
  <c r="E137" i="1"/>
  <c r="F134" i="1"/>
  <c r="H134" i="1" s="1"/>
  <c r="I134" i="1" s="1"/>
  <c r="E133" i="1"/>
  <c r="H133" i="1" s="1"/>
  <c r="I133" i="1" s="1"/>
  <c r="G132" i="1"/>
  <c r="F132" i="1"/>
  <c r="E132" i="1"/>
  <c r="G131" i="1"/>
  <c r="F131" i="1"/>
  <c r="E131" i="1"/>
  <c r="G130" i="1"/>
  <c r="F130" i="1"/>
  <c r="E130" i="1"/>
  <c r="G129" i="1"/>
  <c r="F129" i="1"/>
  <c r="E129" i="1"/>
  <c r="G128" i="1"/>
  <c r="F128" i="1"/>
  <c r="E128" i="1"/>
  <c r="G127" i="1"/>
  <c r="F127" i="1"/>
  <c r="E127" i="1"/>
  <c r="G126" i="1"/>
  <c r="F126" i="1"/>
  <c r="E126" i="1"/>
  <c r="G125" i="1"/>
  <c r="F125" i="1"/>
  <c r="E125" i="1"/>
  <c r="F124" i="1"/>
  <c r="E124" i="1"/>
  <c r="F123" i="1"/>
  <c r="E123" i="1"/>
  <c r="H123" i="1" s="1"/>
  <c r="I123" i="1" s="1"/>
  <c r="F121" i="1"/>
  <c r="E121" i="1"/>
  <c r="E119" i="1"/>
  <c r="H119" i="1" s="1"/>
  <c r="I119" i="1" s="1"/>
  <c r="I118" i="1" s="1"/>
  <c r="G115" i="1"/>
  <c r="F115" i="1"/>
  <c r="E115" i="1"/>
  <c r="G114" i="1"/>
  <c r="F114" i="1"/>
  <c r="H114" i="1" s="1"/>
  <c r="I114" i="1" s="1"/>
  <c r="E114" i="1"/>
  <c r="G113" i="1"/>
  <c r="F113" i="1"/>
  <c r="E113" i="1"/>
  <c r="G112" i="1"/>
  <c r="F112" i="1"/>
  <c r="E112" i="1"/>
  <c r="H112" i="1" s="1"/>
  <c r="I112" i="1" s="1"/>
  <c r="G109" i="1"/>
  <c r="F109" i="1"/>
  <c r="E109" i="1"/>
  <c r="G108" i="1"/>
  <c r="F108" i="1"/>
  <c r="E108" i="1"/>
  <c r="G107" i="1"/>
  <c r="F107" i="1"/>
  <c r="E107" i="1"/>
  <c r="F106" i="1"/>
  <c r="H106" i="1" s="1"/>
  <c r="I106" i="1" s="1"/>
  <c r="E105" i="1"/>
  <c r="H105" i="1" s="1"/>
  <c r="I105" i="1" s="1"/>
  <c r="G104" i="1"/>
  <c r="F104" i="1"/>
  <c r="G103" i="1"/>
  <c r="F103" i="1"/>
  <c r="E103" i="1"/>
  <c r="G102" i="1"/>
  <c r="F102" i="1"/>
  <c r="E102" i="1"/>
  <c r="G101" i="1"/>
  <c r="F101" i="1"/>
  <c r="E101" i="1"/>
  <c r="G100" i="1"/>
  <c r="F100" i="1"/>
  <c r="E100" i="1"/>
  <c r="F97" i="1"/>
  <c r="H97" i="1" s="1"/>
  <c r="I97" i="1" s="1"/>
  <c r="G96" i="1"/>
  <c r="F96" i="1"/>
  <c r="E96" i="1"/>
  <c r="E95" i="1"/>
  <c r="H95" i="1" s="1"/>
  <c r="I95" i="1" s="1"/>
  <c r="G94" i="1"/>
  <c r="F94" i="1"/>
  <c r="H94" i="1"/>
  <c r="I94" i="1" s="1"/>
  <c r="G93" i="1"/>
  <c r="F93" i="1"/>
  <c r="E93" i="1"/>
  <c r="G92" i="1"/>
  <c r="F92" i="1"/>
  <c r="E92" i="1"/>
  <c r="G91" i="1"/>
  <c r="F91" i="1"/>
  <c r="E91" i="1"/>
  <c r="G90" i="1"/>
  <c r="F90" i="1"/>
  <c r="E90" i="1"/>
  <c r="H90" i="1" s="1"/>
  <c r="I90" i="1" s="1"/>
  <c r="G89" i="1"/>
  <c r="F89" i="1"/>
  <c r="E89" i="1"/>
  <c r="G88" i="1"/>
  <c r="F88" i="1"/>
  <c r="E88" i="1"/>
  <c r="G87" i="1"/>
  <c r="F87" i="1"/>
  <c r="E87" i="1"/>
  <c r="G84" i="1"/>
  <c r="F84" i="1"/>
  <c r="E84" i="1"/>
  <c r="H84" i="1" s="1"/>
  <c r="I84" i="1" s="1"/>
  <c r="G83" i="1"/>
  <c r="F83" i="1"/>
  <c r="E83" i="1"/>
  <c r="E82" i="1"/>
  <c r="H82" i="1" s="1"/>
  <c r="I82" i="1" s="1"/>
  <c r="G81" i="1"/>
  <c r="F81" i="1"/>
  <c r="E81" i="1"/>
  <c r="G80" i="1"/>
  <c r="F80" i="1"/>
  <c r="E80" i="1"/>
  <c r="E79" i="1"/>
  <c r="H79" i="1" s="1"/>
  <c r="I79" i="1" s="1"/>
  <c r="E78" i="1"/>
  <c r="H78" i="1" s="1"/>
  <c r="I78" i="1" s="1"/>
  <c r="G75" i="1"/>
  <c r="F75" i="1"/>
  <c r="E75" i="1"/>
  <c r="G74" i="1"/>
  <c r="F74" i="1"/>
  <c r="E74" i="1"/>
  <c r="G73" i="1"/>
  <c r="F73" i="1"/>
  <c r="E73" i="1"/>
  <c r="G72" i="1"/>
  <c r="F72" i="1"/>
  <c r="E72" i="1"/>
  <c r="H72" i="1" s="1"/>
  <c r="I72" i="1" s="1"/>
  <c r="G71" i="1"/>
  <c r="F71" i="1"/>
  <c r="E71" i="1"/>
  <c r="G70" i="1"/>
  <c r="F70" i="1"/>
  <c r="E70" i="1"/>
  <c r="G69" i="1"/>
  <c r="F69" i="1"/>
  <c r="E69" i="1"/>
  <c r="G66" i="1"/>
  <c r="F66" i="1"/>
  <c r="E66" i="1"/>
  <c r="H66" i="1" s="1"/>
  <c r="I66" i="1" s="1"/>
  <c r="I65" i="1" s="1"/>
  <c r="G61" i="1"/>
  <c r="F61" i="1"/>
  <c r="E61" i="1"/>
  <c r="H61" i="1" s="1"/>
  <c r="I61" i="1" s="1"/>
  <c r="G60" i="1"/>
  <c r="F60" i="1"/>
  <c r="H60" i="1" s="1"/>
  <c r="I60" i="1" s="1"/>
  <c r="E60" i="1"/>
  <c r="G59" i="1"/>
  <c r="F59" i="1"/>
  <c r="E59" i="1"/>
  <c r="E58" i="1"/>
  <c r="H58" i="1" s="1"/>
  <c r="I58" i="1" s="1"/>
  <c r="G57" i="1"/>
  <c r="F57" i="1"/>
  <c r="E57" i="1"/>
  <c r="G56" i="1"/>
  <c r="F56" i="1"/>
  <c r="E56" i="1"/>
  <c r="G55" i="1"/>
  <c r="F55" i="1"/>
  <c r="E55" i="1"/>
  <c r="G54" i="1"/>
  <c r="F54" i="1"/>
  <c r="E54" i="1"/>
  <c r="G53" i="1"/>
  <c r="F53" i="1"/>
  <c r="E53" i="1"/>
  <c r="G52" i="1"/>
  <c r="F52" i="1"/>
  <c r="E52" i="1"/>
  <c r="G51" i="1"/>
  <c r="F51" i="1"/>
  <c r="E51" i="1"/>
  <c r="F50" i="1"/>
  <c r="E50" i="1"/>
  <c r="E47" i="1"/>
  <c r="H47" i="1" s="1"/>
  <c r="I47" i="1" s="1"/>
  <c r="F46" i="1"/>
  <c r="H46" i="1" s="1"/>
  <c r="I46" i="1" s="1"/>
  <c r="F45" i="1"/>
  <c r="H45" i="1" s="1"/>
  <c r="I45" i="1" s="1"/>
  <c r="E44" i="1"/>
  <c r="H44" i="1" s="1"/>
  <c r="I44" i="1" s="1"/>
  <c r="E41" i="1"/>
  <c r="H41" i="1" s="1"/>
  <c r="I41" i="1" s="1"/>
  <c r="G40" i="1"/>
  <c r="F40" i="1"/>
  <c r="E40" i="1"/>
  <c r="G39" i="1"/>
  <c r="H39" i="1" s="1"/>
  <c r="I39" i="1" s="1"/>
  <c r="G36" i="1"/>
  <c r="F36" i="1"/>
  <c r="E36" i="1"/>
  <c r="E35" i="1"/>
  <c r="H35" i="1" s="1"/>
  <c r="I35" i="1" s="1"/>
  <c r="G34" i="1"/>
  <c r="F34" i="1"/>
  <c r="E34" i="1"/>
  <c r="G33" i="1"/>
  <c r="F33" i="1"/>
  <c r="E33" i="1"/>
  <c r="G32" i="1"/>
  <c r="F32" i="1"/>
  <c r="E32" i="1"/>
  <c r="F31" i="1"/>
  <c r="E31" i="1"/>
  <c r="F30" i="1"/>
  <c r="E30" i="1"/>
  <c r="H30" i="1" s="1"/>
  <c r="I30" i="1" s="1"/>
  <c r="F29" i="1"/>
  <c r="E29" i="1"/>
  <c r="E28" i="1"/>
  <c r="H28" i="1" s="1"/>
  <c r="I28" i="1" s="1"/>
  <c r="F27" i="1"/>
  <c r="E27" i="1"/>
  <c r="F26" i="1"/>
  <c r="E26" i="1"/>
  <c r="G25" i="1"/>
  <c r="F25" i="1"/>
  <c r="E25" i="1"/>
  <c r="G24" i="1"/>
  <c r="F24" i="1"/>
  <c r="E24" i="1"/>
  <c r="H24" i="1" s="1"/>
  <c r="I24" i="1" s="1"/>
  <c r="G21" i="1"/>
  <c r="F21" i="1"/>
  <c r="E21" i="1"/>
  <c r="G20" i="1"/>
  <c r="F20" i="1"/>
  <c r="E20" i="1"/>
  <c r="G19" i="1"/>
  <c r="F19" i="1"/>
  <c r="E19" i="1"/>
  <c r="G18" i="1"/>
  <c r="F18" i="1"/>
  <c r="E18" i="1"/>
  <c r="H18" i="1" s="1"/>
  <c r="I18" i="1" s="1"/>
  <c r="G17" i="1"/>
  <c r="F17" i="1"/>
  <c r="E17" i="1"/>
  <c r="G16" i="1"/>
  <c r="F16" i="1"/>
  <c r="E16" i="1"/>
  <c r="F15" i="1"/>
  <c r="H15" i="1" s="1"/>
  <c r="I15" i="1" s="1"/>
  <c r="G14" i="1"/>
  <c r="F14" i="1"/>
  <c r="E14" i="1"/>
  <c r="G13" i="1"/>
  <c r="F13" i="1"/>
  <c r="E13" i="1"/>
  <c r="G12" i="1"/>
  <c r="F12" i="1"/>
  <c r="E12" i="1"/>
  <c r="G11" i="1"/>
  <c r="F11" i="1"/>
  <c r="E11" i="1"/>
  <c r="G10" i="1"/>
  <c r="F10" i="1"/>
  <c r="E10" i="1"/>
  <c r="G9" i="1"/>
  <c r="F9" i="1"/>
  <c r="E9" i="1"/>
  <c r="G8" i="1"/>
  <c r="F8" i="1"/>
  <c r="E8" i="1"/>
  <c r="G7" i="1"/>
  <c r="F7" i="1"/>
  <c r="H7" i="1" s="1"/>
  <c r="I7" i="1" s="1"/>
  <c r="E7" i="1"/>
  <c r="J4" i="1"/>
  <c r="H227" i="1" l="1"/>
  <c r="I227" i="1" s="1"/>
  <c r="H9" i="1"/>
  <c r="I9" i="1" s="1"/>
  <c r="H13" i="1"/>
  <c r="I13" i="1" s="1"/>
  <c r="H121" i="1"/>
  <c r="I121" i="1" s="1"/>
  <c r="I120" i="1" s="1"/>
  <c r="H127" i="1"/>
  <c r="I127" i="1" s="1"/>
  <c r="H207" i="1"/>
  <c r="I207" i="1" s="1"/>
  <c r="H313" i="1"/>
  <c r="I313" i="1" s="1"/>
  <c r="H333" i="1"/>
  <c r="I333" i="1" s="1"/>
  <c r="H484" i="1"/>
  <c r="I484" i="1" s="1"/>
  <c r="H894" i="1"/>
  <c r="I894" i="1" s="1"/>
  <c r="H107" i="1"/>
  <c r="I107" i="1" s="1"/>
  <c r="H113" i="1"/>
  <c r="I113" i="1" s="1"/>
  <c r="H143" i="1"/>
  <c r="I143" i="1" s="1"/>
  <c r="H218" i="1"/>
  <c r="I218" i="1" s="1"/>
  <c r="H271" i="1"/>
  <c r="I271" i="1" s="1"/>
  <c r="H277" i="1"/>
  <c r="I277" i="1" s="1"/>
  <c r="H430" i="1"/>
  <c r="I430" i="1" s="1"/>
  <c r="H439" i="1"/>
  <c r="I439" i="1" s="1"/>
  <c r="H452" i="1"/>
  <c r="I452" i="1" s="1"/>
  <c r="H456" i="1"/>
  <c r="I456" i="1" s="1"/>
  <c r="H462" i="1"/>
  <c r="I462" i="1" s="1"/>
  <c r="H475" i="1"/>
  <c r="I475" i="1" s="1"/>
  <c r="H479" i="1"/>
  <c r="I479" i="1" s="1"/>
  <c r="H495" i="1"/>
  <c r="I495" i="1" s="1"/>
  <c r="H499" i="1"/>
  <c r="I499" i="1" s="1"/>
  <c r="H504" i="1"/>
  <c r="I504" i="1" s="1"/>
  <c r="H526" i="1"/>
  <c r="I526" i="1" s="1"/>
  <c r="H533" i="1"/>
  <c r="I533" i="1" s="1"/>
  <c r="H537" i="1"/>
  <c r="I537" i="1" s="1"/>
  <c r="H541" i="1"/>
  <c r="I541" i="1" s="1"/>
  <c r="H701" i="1"/>
  <c r="I701" i="1" s="1"/>
  <c r="H832" i="1"/>
  <c r="I832" i="1" s="1"/>
  <c r="H902" i="1"/>
  <c r="I902" i="1" s="1"/>
  <c r="H918" i="1"/>
  <c r="I918" i="1" s="1"/>
  <c r="H938" i="1"/>
  <c r="I938" i="1" s="1"/>
  <c r="H962" i="1"/>
  <c r="I962" i="1" s="1"/>
  <c r="H1101" i="1"/>
  <c r="I1101" i="1" s="1"/>
  <c r="H80" i="1"/>
  <c r="I80" i="1" s="1"/>
  <c r="H149" i="1"/>
  <c r="I149" i="1" s="1"/>
  <c r="H194" i="1"/>
  <c r="I194" i="1" s="1"/>
  <c r="H229" i="1"/>
  <c r="I229" i="1" s="1"/>
  <c r="H448" i="1"/>
  <c r="I448" i="1" s="1"/>
  <c r="H572" i="1"/>
  <c r="I572" i="1" s="1"/>
  <c r="H620" i="1"/>
  <c r="I620" i="1" s="1"/>
  <c r="H669" i="1"/>
  <c r="I669" i="1" s="1"/>
  <c r="H695" i="1"/>
  <c r="I695" i="1" s="1"/>
  <c r="H712" i="1"/>
  <c r="I712" i="1" s="1"/>
  <c r="H716" i="1"/>
  <c r="I716" i="1" s="1"/>
  <c r="H723" i="1"/>
  <c r="I723" i="1" s="1"/>
  <c r="H742" i="1"/>
  <c r="I742" i="1" s="1"/>
  <c r="H754" i="1"/>
  <c r="I754" i="1" s="1"/>
  <c r="H760" i="1"/>
  <c r="I760" i="1" s="1"/>
  <c r="H770" i="1"/>
  <c r="I770" i="1" s="1"/>
  <c r="H781" i="1"/>
  <c r="I781" i="1" s="1"/>
  <c r="H800" i="1"/>
  <c r="I800" i="1" s="1"/>
  <c r="H804" i="1"/>
  <c r="I804" i="1" s="1"/>
  <c r="H808" i="1"/>
  <c r="I808" i="1" s="1"/>
  <c r="H814" i="1"/>
  <c r="I814" i="1" s="1"/>
  <c r="H910" i="1"/>
  <c r="I910" i="1" s="1"/>
  <c r="H934" i="1"/>
  <c r="I934" i="1" s="1"/>
  <c r="H948" i="1"/>
  <c r="I948" i="1" s="1"/>
  <c r="H952" i="1"/>
  <c r="I952" i="1" s="1"/>
  <c r="H970" i="1"/>
  <c r="I970" i="1" s="1"/>
  <c r="H977" i="1"/>
  <c r="I977" i="1" s="1"/>
  <c r="H982" i="1"/>
  <c r="I982" i="1" s="1"/>
  <c r="H988" i="1"/>
  <c r="I988" i="1" s="1"/>
  <c r="H997" i="1"/>
  <c r="I997" i="1" s="1"/>
  <c r="H1001" i="1"/>
  <c r="I1001" i="1" s="1"/>
  <c r="H1006" i="1"/>
  <c r="I1006" i="1" s="1"/>
  <c r="H1010" i="1"/>
  <c r="I1010" i="1" s="1"/>
  <c r="H1014" i="1"/>
  <c r="I1014" i="1" s="1"/>
  <c r="H1018" i="1"/>
  <c r="I1018" i="1" s="1"/>
  <c r="H1022" i="1"/>
  <c r="I1022" i="1" s="1"/>
  <c r="H1026" i="1"/>
  <c r="I1026" i="1" s="1"/>
  <c r="H1032" i="1"/>
  <c r="I1032" i="1" s="1"/>
  <c r="H1040" i="1"/>
  <c r="I1040" i="1" s="1"/>
  <c r="H1047" i="1"/>
  <c r="I1047" i="1" s="1"/>
  <c r="H1064" i="1"/>
  <c r="I1064" i="1" s="1"/>
  <c r="H1086" i="1"/>
  <c r="I1086" i="1" s="1"/>
  <c r="H529" i="1"/>
  <c r="I529" i="1" s="1"/>
  <c r="H651" i="1"/>
  <c r="I651" i="1" s="1"/>
  <c r="H19" i="1"/>
  <c r="I19" i="1" s="1"/>
  <c r="H73" i="1"/>
  <c r="I73" i="1" s="1"/>
  <c r="H87" i="1"/>
  <c r="I87" i="1" s="1"/>
  <c r="H10" i="1"/>
  <c r="I10" i="1" s="1"/>
  <c r="H25" i="1"/>
  <c r="I25" i="1" s="1"/>
  <c r="H36" i="1"/>
  <c r="I36" i="1" s="1"/>
  <c r="H50" i="1"/>
  <c r="I50" i="1" s="1"/>
  <c r="H59" i="1"/>
  <c r="I59" i="1" s="1"/>
  <c r="H69" i="1"/>
  <c r="I69" i="1" s="1"/>
  <c r="H91" i="1"/>
  <c r="I91" i="1" s="1"/>
  <c r="H96" i="1"/>
  <c r="I96" i="1" s="1"/>
  <c r="H108" i="1"/>
  <c r="I108" i="1" s="1"/>
  <c r="H140" i="1"/>
  <c r="I140" i="1" s="1"/>
  <c r="H144" i="1"/>
  <c r="I144" i="1" s="1"/>
  <c r="H150" i="1"/>
  <c r="I150" i="1" s="1"/>
  <c r="H156" i="1"/>
  <c r="I156" i="1" s="1"/>
  <c r="H181" i="1"/>
  <c r="I181" i="1" s="1"/>
  <c r="H201" i="1"/>
  <c r="I201" i="1" s="1"/>
  <c r="H230" i="1"/>
  <c r="I230" i="1" s="1"/>
  <c r="H238" i="1"/>
  <c r="I238" i="1" s="1"/>
  <c r="H268" i="1"/>
  <c r="I268" i="1" s="1"/>
  <c r="H272" i="1"/>
  <c r="I272" i="1" s="1"/>
  <c r="H280" i="1"/>
  <c r="I280" i="1" s="1"/>
  <c r="H290" i="1"/>
  <c r="I290" i="1" s="1"/>
  <c r="H299" i="1"/>
  <c r="I299" i="1" s="1"/>
  <c r="H375" i="1"/>
  <c r="I375" i="1" s="1"/>
  <c r="H426" i="1"/>
  <c r="I426" i="1" s="1"/>
  <c r="H431" i="1"/>
  <c r="I431" i="1" s="1"/>
  <c r="H440" i="1"/>
  <c r="I440" i="1" s="1"/>
  <c r="H444" i="1"/>
  <c r="I444" i="1" s="1"/>
  <c r="H449" i="1"/>
  <c r="I449" i="1" s="1"/>
  <c r="H453" i="1"/>
  <c r="I453" i="1" s="1"/>
  <c r="H458" i="1"/>
  <c r="I458" i="1" s="1"/>
  <c r="I457" i="1" s="1"/>
  <c r="H471" i="1"/>
  <c r="I471" i="1" s="1"/>
  <c r="H476" i="1"/>
  <c r="I476" i="1" s="1"/>
  <c r="H486" i="1"/>
  <c r="I486" i="1" s="1"/>
  <c r="H490" i="1"/>
  <c r="I490" i="1" s="1"/>
  <c r="H496" i="1"/>
  <c r="I496" i="1" s="1"/>
  <c r="H500" i="1"/>
  <c r="I500" i="1" s="1"/>
  <c r="H505" i="1"/>
  <c r="I505" i="1" s="1"/>
  <c r="H534" i="1"/>
  <c r="I534" i="1" s="1"/>
  <c r="H538" i="1"/>
  <c r="I538" i="1" s="1"/>
  <c r="H548" i="1"/>
  <c r="I548" i="1" s="1"/>
  <c r="H573" i="1"/>
  <c r="I573" i="1" s="1"/>
  <c r="H604" i="1"/>
  <c r="I604" i="1" s="1"/>
  <c r="H609" i="1"/>
  <c r="I609" i="1" s="1"/>
  <c r="H613" i="1"/>
  <c r="I613" i="1" s="1"/>
  <c r="H621" i="1"/>
  <c r="I621" i="1" s="1"/>
  <c r="H646" i="1"/>
  <c r="I646" i="1" s="1"/>
  <c r="H670" i="1"/>
  <c r="I670" i="1" s="1"/>
  <c r="H696" i="1"/>
  <c r="I696" i="1" s="1"/>
  <c r="H702" i="1"/>
  <c r="I702" i="1" s="1"/>
  <c r="H717" i="1"/>
  <c r="I717" i="1" s="1"/>
  <c r="H766" i="1"/>
  <c r="I766" i="1" s="1"/>
  <c r="H809" i="1"/>
  <c r="I809" i="1" s="1"/>
  <c r="H862" i="1"/>
  <c r="I862" i="1" s="1"/>
  <c r="H919" i="1"/>
  <c r="I919" i="1" s="1"/>
  <c r="H949" i="1"/>
  <c r="I949" i="1" s="1"/>
  <c r="H971" i="1"/>
  <c r="I971" i="1" s="1"/>
  <c r="H978" i="1"/>
  <c r="I978" i="1" s="1"/>
  <c r="H1041" i="1"/>
  <c r="I1041" i="1" s="1"/>
  <c r="H1095" i="1"/>
  <c r="I1095" i="1" s="1"/>
  <c r="H1115" i="1"/>
  <c r="I1115" i="1" s="1"/>
  <c r="H166" i="1"/>
  <c r="I166" i="1" s="1"/>
  <c r="H713" i="1"/>
  <c r="I713" i="1" s="1"/>
  <c r="H822" i="1"/>
  <c r="I822" i="1" s="1"/>
  <c r="H896" i="1"/>
  <c r="I896" i="1" s="1"/>
  <c r="H927" i="1"/>
  <c r="I927" i="1" s="1"/>
  <c r="H967" i="1"/>
  <c r="I967" i="1" s="1"/>
  <c r="H81" i="1"/>
  <c r="I81" i="1" s="1"/>
  <c r="I77" i="1" s="1"/>
  <c r="H115" i="1"/>
  <c r="I115" i="1" s="1"/>
  <c r="H125" i="1"/>
  <c r="I125" i="1" s="1"/>
  <c r="H137" i="1"/>
  <c r="I137" i="1" s="1"/>
  <c r="H141" i="1"/>
  <c r="I141" i="1" s="1"/>
  <c r="H145" i="1"/>
  <c r="I145" i="1" s="1"/>
  <c r="H220" i="1"/>
  <c r="I220" i="1" s="1"/>
  <c r="H231" i="1"/>
  <c r="I231" i="1" s="1"/>
  <c r="H269" i="1"/>
  <c r="I269" i="1" s="1"/>
  <c r="H275" i="1"/>
  <c r="I275" i="1" s="1"/>
  <c r="I274" i="1" s="1"/>
  <c r="H286" i="1"/>
  <c r="I286" i="1" s="1"/>
  <c r="H300" i="1"/>
  <c r="I300" i="1" s="1"/>
  <c r="H315" i="1"/>
  <c r="I315" i="1" s="1"/>
  <c r="H325" i="1"/>
  <c r="I325" i="1" s="1"/>
  <c r="H337" i="1"/>
  <c r="I337" i="1" s="1"/>
  <c r="H427" i="1"/>
  <c r="I427" i="1" s="1"/>
  <c r="H432" i="1"/>
  <c r="I432" i="1" s="1"/>
  <c r="H450" i="1"/>
  <c r="I450" i="1" s="1"/>
  <c r="H454" i="1"/>
  <c r="I454" i="1" s="1"/>
  <c r="H459" i="1"/>
  <c r="I459" i="1" s="1"/>
  <c r="H477" i="1"/>
  <c r="I477" i="1" s="1"/>
  <c r="H487" i="1"/>
  <c r="I487" i="1" s="1"/>
  <c r="H497" i="1"/>
  <c r="I497" i="1" s="1"/>
  <c r="H517" i="1"/>
  <c r="I517" i="1" s="1"/>
  <c r="I513" i="1" s="1"/>
  <c r="H535" i="1"/>
  <c r="I535" i="1" s="1"/>
  <c r="H539" i="1"/>
  <c r="I539" i="1" s="1"/>
  <c r="H561" i="1"/>
  <c r="I561" i="1" s="1"/>
  <c r="H610" i="1"/>
  <c r="I610" i="1" s="1"/>
  <c r="H630" i="1"/>
  <c r="I630" i="1" s="1"/>
  <c r="H692" i="1"/>
  <c r="I692" i="1" s="1"/>
  <c r="H699" i="1"/>
  <c r="I699" i="1" s="1"/>
  <c r="H714" i="1"/>
  <c r="I714" i="1" s="1"/>
  <c r="H725" i="1"/>
  <c r="I725" i="1" s="1"/>
  <c r="H729" i="1"/>
  <c r="I729" i="1" s="1"/>
  <c r="H739" i="1"/>
  <c r="I739" i="1" s="1"/>
  <c r="H746" i="1"/>
  <c r="I746" i="1" s="1"/>
  <c r="H756" i="1"/>
  <c r="I756" i="1" s="1"/>
  <c r="H772" i="1"/>
  <c r="I772" i="1" s="1"/>
  <c r="H778" i="1"/>
  <c r="I778" i="1" s="1"/>
  <c r="H782" i="1"/>
  <c r="I782" i="1" s="1"/>
  <c r="H797" i="1"/>
  <c r="I797" i="1" s="1"/>
  <c r="H897" i="1"/>
  <c r="I897" i="1" s="1"/>
  <c r="H904" i="1"/>
  <c r="I904" i="1" s="1"/>
  <c r="H908" i="1"/>
  <c r="I908" i="1" s="1"/>
  <c r="H912" i="1"/>
  <c r="I912" i="1" s="1"/>
  <c r="H916" i="1"/>
  <c r="I916" i="1" s="1"/>
  <c r="H920" i="1"/>
  <c r="I920" i="1" s="1"/>
  <c r="H924" i="1"/>
  <c r="I924" i="1" s="1"/>
  <c r="H928" i="1"/>
  <c r="I928" i="1" s="1"/>
  <c r="H932" i="1"/>
  <c r="I932" i="1" s="1"/>
  <c r="H936" i="1"/>
  <c r="I936" i="1" s="1"/>
  <c r="H940" i="1"/>
  <c r="I940" i="1" s="1"/>
  <c r="H944" i="1"/>
  <c r="I944" i="1" s="1"/>
  <c r="H950" i="1"/>
  <c r="I950" i="1" s="1"/>
  <c r="H954" i="1"/>
  <c r="I954" i="1" s="1"/>
  <c r="H960" i="1"/>
  <c r="I960" i="1" s="1"/>
  <c r="H964" i="1"/>
  <c r="I964" i="1" s="1"/>
  <c r="H968" i="1"/>
  <c r="I968" i="1" s="1"/>
  <c r="H972" i="1"/>
  <c r="I972" i="1" s="1"/>
  <c r="H1048" i="1"/>
  <c r="I1048" i="1" s="1"/>
  <c r="H1074" i="1"/>
  <c r="I1074" i="1" s="1"/>
  <c r="H1078" i="1"/>
  <c r="I1078" i="1" s="1"/>
  <c r="H1084" i="1"/>
  <c r="I1084" i="1" s="1"/>
  <c r="H1088" i="1"/>
  <c r="I1088" i="1" s="1"/>
  <c r="H40" i="1"/>
  <c r="I40" i="1" s="1"/>
  <c r="H109" i="1"/>
  <c r="I109" i="1" s="1"/>
  <c r="H8" i="1"/>
  <c r="I8" i="1" s="1"/>
  <c r="H12" i="1"/>
  <c r="I12" i="1" s="1"/>
  <c r="H27" i="1"/>
  <c r="I27" i="1" s="1"/>
  <c r="H33" i="1"/>
  <c r="I33" i="1" s="1"/>
  <c r="H52" i="1"/>
  <c r="I52" i="1" s="1"/>
  <c r="H56" i="1"/>
  <c r="I56" i="1" s="1"/>
  <c r="H100" i="1"/>
  <c r="I100" i="1" s="1"/>
  <c r="H104" i="1"/>
  <c r="I104" i="1" s="1"/>
  <c r="H126" i="1"/>
  <c r="I126" i="1" s="1"/>
  <c r="H130" i="1"/>
  <c r="I130" i="1" s="1"/>
  <c r="H170" i="1"/>
  <c r="I170" i="1" s="1"/>
  <c r="I168" i="1" s="1"/>
  <c r="H188" i="1"/>
  <c r="I188" i="1" s="1"/>
  <c r="H192" i="1"/>
  <c r="I192" i="1" s="1"/>
  <c r="H199" i="1"/>
  <c r="I199" i="1" s="1"/>
  <c r="H206" i="1"/>
  <c r="I206" i="1" s="1"/>
  <c r="H216" i="1"/>
  <c r="I216" i="1" s="1"/>
  <c r="H282" i="1"/>
  <c r="I282" i="1" s="1"/>
  <c r="H287" i="1"/>
  <c r="I287" i="1" s="1"/>
  <c r="H301" i="1"/>
  <c r="I301" i="1" s="1"/>
  <c r="H312" i="1"/>
  <c r="I312" i="1" s="1"/>
  <c r="H316" i="1"/>
  <c r="I316" i="1" s="1"/>
  <c r="H342" i="1"/>
  <c r="I342" i="1" s="1"/>
  <c r="H378" i="1"/>
  <c r="I378" i="1" s="1"/>
  <c r="H428" i="1"/>
  <c r="I428" i="1" s="1"/>
  <c r="H502" i="1"/>
  <c r="I502" i="1" s="1"/>
  <c r="H531" i="1"/>
  <c r="I531" i="1" s="1"/>
  <c r="H596" i="1"/>
  <c r="I596" i="1" s="1"/>
  <c r="H631" i="1"/>
  <c r="I631" i="1" s="1"/>
  <c r="H648" i="1"/>
  <c r="I648" i="1" s="1"/>
  <c r="H751" i="1"/>
  <c r="I751" i="1" s="1"/>
  <c r="H783" i="1"/>
  <c r="I783" i="1" s="1"/>
  <c r="H811" i="1"/>
  <c r="I811" i="1" s="1"/>
  <c r="H892" i="1"/>
  <c r="I892" i="1" s="1"/>
  <c r="H992" i="1"/>
  <c r="I992" i="1" s="1"/>
  <c r="H1051" i="1"/>
  <c r="I1051" i="1" s="1"/>
  <c r="H514" i="1"/>
  <c r="I514" i="1" s="1"/>
  <c r="H587" i="1"/>
  <c r="I587" i="1" s="1"/>
  <c r="H642" i="1"/>
  <c r="I642" i="1" s="1"/>
  <c r="I641" i="1" s="1"/>
  <c r="H736" i="1"/>
  <c r="I736" i="1" s="1"/>
  <c r="H886" i="1"/>
  <c r="I886" i="1" s="1"/>
  <c r="I251" i="1"/>
  <c r="I247" i="1" s="1"/>
  <c r="I86" i="1"/>
  <c r="I373" i="1"/>
  <c r="I111" i="1"/>
  <c r="H55" i="1"/>
  <c r="I55" i="1" s="1"/>
  <c r="H103" i="1"/>
  <c r="I103" i="1" s="1"/>
  <c r="H211" i="1"/>
  <c r="I211" i="1" s="1"/>
  <c r="H329" i="1"/>
  <c r="I329" i="1" s="1"/>
  <c r="H11" i="1"/>
  <c r="I11" i="1" s="1"/>
  <c r="H16" i="1"/>
  <c r="I16" i="1" s="1"/>
  <c r="H32" i="1"/>
  <c r="I32" i="1" s="1"/>
  <c r="I38" i="1"/>
  <c r="H92" i="1"/>
  <c r="I92" i="1" s="1"/>
  <c r="H177" i="1"/>
  <c r="I177" i="1" s="1"/>
  <c r="H198" i="1"/>
  <c r="I198" i="1" s="1"/>
  <c r="I197" i="1" s="1"/>
  <c r="H205" i="1"/>
  <c r="I205" i="1" s="1"/>
  <c r="I183" i="1"/>
  <c r="H29" i="1"/>
  <c r="I29" i="1" s="1"/>
  <c r="H34" i="1"/>
  <c r="I34" i="1" s="1"/>
  <c r="I43" i="1"/>
  <c r="H53" i="1"/>
  <c r="I53" i="1" s="1"/>
  <c r="H57" i="1"/>
  <c r="I57" i="1" s="1"/>
  <c r="H101" i="1"/>
  <c r="I101" i="1" s="1"/>
  <c r="H131" i="1"/>
  <c r="I131" i="1" s="1"/>
  <c r="H179" i="1"/>
  <c r="I179" i="1" s="1"/>
  <c r="H189" i="1"/>
  <c r="I189" i="1" s="1"/>
  <c r="H193" i="1"/>
  <c r="I193" i="1" s="1"/>
  <c r="H200" i="1"/>
  <c r="I200" i="1" s="1"/>
  <c r="H213" i="1"/>
  <c r="I213" i="1" s="1"/>
  <c r="H217" i="1"/>
  <c r="I217" i="1" s="1"/>
  <c r="H305" i="1"/>
  <c r="I305" i="1" s="1"/>
  <c r="H309" i="1"/>
  <c r="I309" i="1" s="1"/>
  <c r="H319" i="1"/>
  <c r="I319" i="1" s="1"/>
  <c r="H323" i="1"/>
  <c r="I323" i="1" s="1"/>
  <c r="H327" i="1"/>
  <c r="I327" i="1" s="1"/>
  <c r="H339" i="1"/>
  <c r="I339" i="1" s="1"/>
  <c r="H438" i="1"/>
  <c r="I438" i="1" s="1"/>
  <c r="H470" i="1"/>
  <c r="I470" i="1" s="1"/>
  <c r="H474" i="1"/>
  <c r="I474" i="1" s="1"/>
  <c r="H494" i="1"/>
  <c r="I494" i="1" s="1"/>
  <c r="H515" i="1"/>
  <c r="I515" i="1" s="1"/>
  <c r="H521" i="1"/>
  <c r="I521" i="1" s="1"/>
  <c r="H525" i="1"/>
  <c r="I525" i="1" s="1"/>
  <c r="H558" i="1"/>
  <c r="I558" i="1" s="1"/>
  <c r="H593" i="1"/>
  <c r="I593" i="1" s="1"/>
  <c r="H602" i="1"/>
  <c r="I602" i="1" s="1"/>
  <c r="H625" i="1"/>
  <c r="I625" i="1" s="1"/>
  <c r="H679" i="1"/>
  <c r="I679" i="1" s="1"/>
  <c r="H683" i="1"/>
  <c r="I683" i="1" s="1"/>
  <c r="H694" i="1"/>
  <c r="I694" i="1" s="1"/>
  <c r="H711" i="1"/>
  <c r="I711" i="1" s="1"/>
  <c r="H722" i="1"/>
  <c r="I722" i="1" s="1"/>
  <c r="H741" i="1"/>
  <c r="I741" i="1" s="1"/>
  <c r="H753" i="1"/>
  <c r="I753" i="1" s="1"/>
  <c r="H764" i="1"/>
  <c r="I764" i="1" s="1"/>
  <c r="H769" i="1"/>
  <c r="I769" i="1" s="1"/>
  <c r="H799" i="1"/>
  <c r="I799" i="1" s="1"/>
  <c r="H803" i="1"/>
  <c r="I803" i="1" s="1"/>
  <c r="H807" i="1"/>
  <c r="I807" i="1" s="1"/>
  <c r="H825" i="1"/>
  <c r="I825" i="1" s="1"/>
  <c r="H831" i="1"/>
  <c r="I831" i="1" s="1"/>
  <c r="H981" i="1"/>
  <c r="I981" i="1" s="1"/>
  <c r="H987" i="1"/>
  <c r="I987" i="1" s="1"/>
  <c r="H1000" i="1"/>
  <c r="I1000" i="1" s="1"/>
  <c r="H1005" i="1"/>
  <c r="I1005" i="1" s="1"/>
  <c r="H1009" i="1"/>
  <c r="I1009" i="1" s="1"/>
  <c r="H1013" i="1"/>
  <c r="I1013" i="1" s="1"/>
  <c r="H1017" i="1"/>
  <c r="I1017" i="1" s="1"/>
  <c r="H1021" i="1"/>
  <c r="I1021" i="1" s="1"/>
  <c r="H1025" i="1"/>
  <c r="I1025" i="1" s="1"/>
  <c r="H1029" i="1"/>
  <c r="I1029" i="1" s="1"/>
  <c r="H1037" i="1"/>
  <c r="I1037" i="1" s="1"/>
  <c r="I1036" i="1" s="1"/>
  <c r="H1100" i="1"/>
  <c r="I1100" i="1" s="1"/>
  <c r="I381" i="1"/>
  <c r="H14" i="1"/>
  <c r="I14" i="1" s="1"/>
  <c r="H54" i="1"/>
  <c r="I54" i="1" s="1"/>
  <c r="H102" i="1"/>
  <c r="I102" i="1" s="1"/>
  <c r="H128" i="1"/>
  <c r="I128" i="1" s="1"/>
  <c r="H132" i="1"/>
  <c r="I132" i="1" s="1"/>
  <c r="H190" i="1"/>
  <c r="I190" i="1" s="1"/>
  <c r="H208" i="1"/>
  <c r="I208" i="1" s="1"/>
  <c r="H214" i="1"/>
  <c r="I214" i="1" s="1"/>
  <c r="H306" i="1"/>
  <c r="I306" i="1" s="1"/>
  <c r="H310" i="1"/>
  <c r="I310" i="1" s="1"/>
  <c r="H320" i="1"/>
  <c r="I320" i="1" s="1"/>
  <c r="I267" i="1"/>
  <c r="H600" i="1"/>
  <c r="I600" i="1" s="1"/>
  <c r="H1015" i="1"/>
  <c r="I1015" i="1" s="1"/>
  <c r="H20" i="1"/>
  <c r="I20" i="1" s="1"/>
  <c r="H26" i="1"/>
  <c r="I26" i="1" s="1"/>
  <c r="H51" i="1"/>
  <c r="I51" i="1" s="1"/>
  <c r="H70" i="1"/>
  <c r="I70" i="1" s="1"/>
  <c r="H74" i="1"/>
  <c r="I74" i="1" s="1"/>
  <c r="H88" i="1"/>
  <c r="I88" i="1" s="1"/>
  <c r="H129" i="1"/>
  <c r="I129" i="1" s="1"/>
  <c r="H151" i="1"/>
  <c r="I151" i="1" s="1"/>
  <c r="I136" i="1" s="1"/>
  <c r="H161" i="1"/>
  <c r="I161" i="1" s="1"/>
  <c r="H191" i="1"/>
  <c r="I191" i="1" s="1"/>
  <c r="H281" i="1"/>
  <c r="I281" i="1" s="1"/>
  <c r="H321" i="1"/>
  <c r="I321" i="1" s="1"/>
  <c r="H492" i="1"/>
  <c r="I492" i="1" s="1"/>
  <c r="H569" i="1"/>
  <c r="I569" i="1" s="1"/>
  <c r="H585" i="1"/>
  <c r="I585" i="1" s="1"/>
  <c r="H666" i="1"/>
  <c r="I666" i="1" s="1"/>
  <c r="H805" i="1"/>
  <c r="I805" i="1" s="1"/>
  <c r="H816" i="1"/>
  <c r="I816" i="1" s="1"/>
  <c r="H1023" i="1"/>
  <c r="I1023" i="1" s="1"/>
  <c r="I364" i="1"/>
  <c r="H308" i="1"/>
  <c r="I308" i="1" s="1"/>
  <c r="H322" i="1"/>
  <c r="I322" i="1" s="1"/>
  <c r="H332" i="1"/>
  <c r="I332" i="1" s="1"/>
  <c r="I331" i="1" s="1"/>
  <c r="H442" i="1"/>
  <c r="I442" i="1" s="1"/>
  <c r="H524" i="1"/>
  <c r="I524" i="1" s="1"/>
  <c r="H577" i="1"/>
  <c r="I577" i="1" s="1"/>
  <c r="H624" i="1"/>
  <c r="I624" i="1" s="1"/>
  <c r="H667" i="1"/>
  <c r="I667" i="1" s="1"/>
  <c r="H678" i="1"/>
  <c r="I678" i="1" s="1"/>
  <c r="H719" i="1"/>
  <c r="I719" i="1" s="1"/>
  <c r="H740" i="1"/>
  <c r="I740" i="1" s="1"/>
  <c r="H798" i="1"/>
  <c r="I798" i="1" s="1"/>
  <c r="H802" i="1"/>
  <c r="I802" i="1" s="1"/>
  <c r="H806" i="1"/>
  <c r="I806" i="1" s="1"/>
  <c r="H980" i="1"/>
  <c r="I980" i="1" s="1"/>
  <c r="H986" i="1"/>
  <c r="I986" i="1" s="1"/>
  <c r="H999" i="1"/>
  <c r="I999" i="1" s="1"/>
  <c r="H1003" i="1"/>
  <c r="I1003" i="1" s="1"/>
  <c r="H1008" i="1"/>
  <c r="I1008" i="1" s="1"/>
  <c r="H1012" i="1"/>
  <c r="I1012" i="1" s="1"/>
  <c r="H1016" i="1"/>
  <c r="I1016" i="1" s="1"/>
  <c r="H1020" i="1"/>
  <c r="I1020" i="1" s="1"/>
  <c r="H1024" i="1"/>
  <c r="I1024" i="1" s="1"/>
  <c r="H1028" i="1"/>
  <c r="I1028" i="1" s="1"/>
  <c r="H1034" i="1"/>
  <c r="I1034" i="1" s="1"/>
  <c r="H212" i="1"/>
  <c r="I212" i="1" s="1"/>
  <c r="H326" i="1"/>
  <c r="I326" i="1" s="1"/>
  <c r="H338" i="1"/>
  <c r="I338" i="1" s="1"/>
  <c r="H437" i="1"/>
  <c r="I437" i="1" s="1"/>
  <c r="H446" i="1"/>
  <c r="I446" i="1" s="1"/>
  <c r="H469" i="1"/>
  <c r="I469" i="1" s="1"/>
  <c r="H473" i="1"/>
  <c r="I473" i="1" s="1"/>
  <c r="H483" i="1"/>
  <c r="I483" i="1" s="1"/>
  <c r="H520" i="1"/>
  <c r="I520" i="1" s="1"/>
  <c r="H601" i="1"/>
  <c r="I601" i="1" s="1"/>
  <c r="H682" i="1"/>
  <c r="I682" i="1" s="1"/>
  <c r="H693" i="1"/>
  <c r="I693" i="1" s="1"/>
  <c r="H708" i="1"/>
  <c r="I708" i="1" s="1"/>
  <c r="H763" i="1"/>
  <c r="I763" i="1" s="1"/>
  <c r="H17" i="1"/>
  <c r="I17" i="1" s="1"/>
  <c r="H21" i="1"/>
  <c r="I21" i="1" s="1"/>
  <c r="H71" i="1"/>
  <c r="I71" i="1" s="1"/>
  <c r="H75" i="1"/>
  <c r="I75" i="1" s="1"/>
  <c r="H83" i="1"/>
  <c r="I83" i="1" s="1"/>
  <c r="H89" i="1"/>
  <c r="I89" i="1" s="1"/>
  <c r="H93" i="1"/>
  <c r="I93" i="1" s="1"/>
  <c r="H162" i="1"/>
  <c r="I162" i="1" s="1"/>
  <c r="H178" i="1"/>
  <c r="I178" i="1" s="1"/>
  <c r="I242" i="1"/>
  <c r="H292" i="1"/>
  <c r="I292" i="1" s="1"/>
  <c r="I344" i="1"/>
  <c r="H493" i="1"/>
  <c r="I493" i="1" s="1"/>
  <c r="H546" i="1"/>
  <c r="I546" i="1" s="1"/>
  <c r="H550" i="1"/>
  <c r="I550" i="1" s="1"/>
  <c r="H557" i="1"/>
  <c r="I557" i="1" s="1"/>
  <c r="H566" i="1"/>
  <c r="I566" i="1" s="1"/>
  <c r="H570" i="1"/>
  <c r="I570" i="1" s="1"/>
  <c r="H582" i="1"/>
  <c r="I582" i="1" s="1"/>
  <c r="H618" i="1"/>
  <c r="I618" i="1" s="1"/>
  <c r="I616" i="1" s="1"/>
  <c r="H653" i="1"/>
  <c r="I653" i="1" s="1"/>
  <c r="H657" i="1"/>
  <c r="I657" i="1" s="1"/>
  <c r="H663" i="1"/>
  <c r="I663" i="1" s="1"/>
  <c r="H689" i="1"/>
  <c r="I689" i="1" s="1"/>
  <c r="H704" i="1"/>
  <c r="I704" i="1" s="1"/>
  <c r="H768" i="1"/>
  <c r="I768" i="1" s="1"/>
  <c r="H788" i="1"/>
  <c r="I788" i="1" s="1"/>
  <c r="H792" i="1"/>
  <c r="I792" i="1" s="1"/>
  <c r="H824" i="1"/>
  <c r="I824" i="1" s="1"/>
  <c r="H830" i="1"/>
  <c r="I830" i="1" s="1"/>
  <c r="H840" i="1"/>
  <c r="I840" i="1" s="1"/>
  <c r="H848" i="1"/>
  <c r="I848" i="1" s="1"/>
  <c r="H852" i="1"/>
  <c r="I852" i="1" s="1"/>
  <c r="H856" i="1"/>
  <c r="I856" i="1" s="1"/>
  <c r="H860" i="1"/>
  <c r="I860" i="1" s="1"/>
  <c r="H864" i="1"/>
  <c r="I864" i="1" s="1"/>
  <c r="H870" i="1"/>
  <c r="I870" i="1" s="1"/>
  <c r="H874" i="1"/>
  <c r="I874" i="1" s="1"/>
  <c r="H882" i="1"/>
  <c r="I882" i="1" s="1"/>
  <c r="H1045" i="1"/>
  <c r="I1045" i="1" s="1"/>
  <c r="H1058" i="1"/>
  <c r="I1058" i="1" s="1"/>
  <c r="H1062" i="1"/>
  <c r="I1062" i="1" s="1"/>
  <c r="H1099" i="1"/>
  <c r="I1099" i="1" s="1"/>
  <c r="H1106" i="1"/>
  <c r="I1106" i="1" s="1"/>
  <c r="H1113" i="1"/>
  <c r="I1113" i="1" s="1"/>
  <c r="H1117" i="1"/>
  <c r="I1117" i="1" s="1"/>
  <c r="H1121" i="1"/>
  <c r="I1121" i="1" s="1"/>
  <c r="H1125" i="1"/>
  <c r="I1125" i="1" s="1"/>
  <c r="H1129" i="1"/>
  <c r="I1129" i="1" s="1"/>
  <c r="H1133" i="1"/>
  <c r="I1133" i="1" s="1"/>
  <c r="H1145" i="1"/>
  <c r="I1145" i="1" s="1"/>
  <c r="I1144" i="1" s="1"/>
  <c r="H324" i="1"/>
  <c r="I324" i="1" s="1"/>
  <c r="H328" i="1"/>
  <c r="I328" i="1" s="1"/>
  <c r="H334" i="1"/>
  <c r="I334" i="1" s="1"/>
  <c r="H340" i="1"/>
  <c r="I340" i="1" s="1"/>
  <c r="H435" i="1"/>
  <c r="I435" i="1" s="1"/>
  <c r="I425" i="1" s="1"/>
  <c r="H522" i="1"/>
  <c r="I522" i="1" s="1"/>
  <c r="H552" i="1"/>
  <c r="I552" i="1" s="1"/>
  <c r="H559" i="1"/>
  <c r="I559" i="1" s="1"/>
  <c r="H589" i="1"/>
  <c r="I589" i="1" s="1"/>
  <c r="H594" i="1"/>
  <c r="I594" i="1" s="1"/>
  <c r="H676" i="1"/>
  <c r="I676" i="1" s="1"/>
  <c r="H680" i="1"/>
  <c r="I680" i="1" s="1"/>
  <c r="H226" i="1"/>
  <c r="I226" i="1" s="1"/>
  <c r="I222" i="1" s="1"/>
  <c r="H291" i="1"/>
  <c r="I291" i="1" s="1"/>
  <c r="H295" i="1"/>
  <c r="I295" i="1" s="1"/>
  <c r="H468" i="1"/>
  <c r="I468" i="1" s="1"/>
  <c r="H472" i="1"/>
  <c r="I472" i="1" s="1"/>
  <c r="H501" i="1"/>
  <c r="I501" i="1" s="1"/>
  <c r="H506" i="1"/>
  <c r="I506" i="1" s="1"/>
  <c r="H511" i="1"/>
  <c r="I511" i="1" s="1"/>
  <c r="H543" i="1"/>
  <c r="I543" i="1" s="1"/>
  <c r="H549" i="1"/>
  <c r="I549" i="1" s="1"/>
  <c r="H565" i="1"/>
  <c r="I565" i="1" s="1"/>
  <c r="H576" i="1"/>
  <c r="I576" i="1" s="1"/>
  <c r="H581" i="1"/>
  <c r="I581" i="1" s="1"/>
  <c r="H591" i="1"/>
  <c r="I591" i="1" s="1"/>
  <c r="H623" i="1"/>
  <c r="I623" i="1" s="1"/>
  <c r="H647" i="1"/>
  <c r="I647" i="1" s="1"/>
  <c r="H652" i="1"/>
  <c r="I652" i="1" s="1"/>
  <c r="H656" i="1"/>
  <c r="I656" i="1" s="1"/>
  <c r="H662" i="1"/>
  <c r="I662" i="1" s="1"/>
  <c r="H677" i="1"/>
  <c r="I677" i="1" s="1"/>
  <c r="H688" i="1"/>
  <c r="I688" i="1" s="1"/>
  <c r="H703" i="1"/>
  <c r="I703" i="1" s="1"/>
  <c r="H707" i="1"/>
  <c r="I707" i="1" s="1"/>
  <c r="H718" i="1"/>
  <c r="I718" i="1" s="1"/>
  <c r="H735" i="1"/>
  <c r="I735" i="1" s="1"/>
  <c r="H750" i="1"/>
  <c r="I750" i="1" s="1"/>
  <c r="H762" i="1"/>
  <c r="I762" i="1" s="1"/>
  <c r="H767" i="1"/>
  <c r="I767" i="1" s="1"/>
  <c r="H791" i="1"/>
  <c r="I791" i="1" s="1"/>
  <c r="H810" i="1"/>
  <c r="I810" i="1" s="1"/>
  <c r="H847" i="1"/>
  <c r="I847" i="1" s="1"/>
  <c r="H855" i="1"/>
  <c r="I855" i="1" s="1"/>
  <c r="H859" i="1"/>
  <c r="I859" i="1" s="1"/>
  <c r="H863" i="1"/>
  <c r="I863" i="1" s="1"/>
  <c r="H869" i="1"/>
  <c r="I869" i="1" s="1"/>
  <c r="H873" i="1"/>
  <c r="I873" i="1" s="1"/>
  <c r="H881" i="1"/>
  <c r="I881" i="1" s="1"/>
  <c r="H885" i="1"/>
  <c r="I885" i="1" s="1"/>
  <c r="H891" i="1"/>
  <c r="I891" i="1" s="1"/>
  <c r="H979" i="1"/>
  <c r="I979" i="1" s="1"/>
  <c r="H991" i="1"/>
  <c r="I991" i="1" s="1"/>
  <c r="I990" i="1" s="1"/>
  <c r="H1002" i="1"/>
  <c r="I1002" i="1" s="1"/>
  <c r="H1044" i="1"/>
  <c r="I1044" i="1" s="1"/>
  <c r="I1043" i="1" s="1"/>
  <c r="H1057" i="1"/>
  <c r="I1057" i="1" s="1"/>
  <c r="H1061" i="1"/>
  <c r="I1061" i="1" s="1"/>
  <c r="H1066" i="1"/>
  <c r="I1066" i="1" s="1"/>
  <c r="H1105" i="1"/>
  <c r="I1105" i="1" s="1"/>
  <c r="H1112" i="1"/>
  <c r="I1112" i="1" s="1"/>
  <c r="H1116" i="1"/>
  <c r="I1116" i="1" s="1"/>
  <c r="H1120" i="1"/>
  <c r="I1120" i="1" s="1"/>
  <c r="H1124" i="1"/>
  <c r="I1124" i="1" s="1"/>
  <c r="H1128" i="1"/>
  <c r="I1128" i="1" s="1"/>
  <c r="H1132" i="1"/>
  <c r="I1132" i="1" s="1"/>
  <c r="H1142" i="1"/>
  <c r="I1142" i="1" s="1"/>
  <c r="I1141" i="1" s="1"/>
  <c r="H31" i="1"/>
  <c r="I31" i="1" s="1"/>
  <c r="H124" i="1"/>
  <c r="I124" i="1" s="1"/>
  <c r="H160" i="1"/>
  <c r="I160" i="1" s="1"/>
  <c r="H176" i="1"/>
  <c r="I176" i="1" s="1"/>
  <c r="H225" i="1"/>
  <c r="I225" i="1" s="1"/>
  <c r="H285" i="1"/>
  <c r="I285" i="1" s="1"/>
  <c r="H294" i="1"/>
  <c r="I294" i="1" s="1"/>
  <c r="H463" i="1"/>
  <c r="I463" i="1" s="1"/>
  <c r="H481" i="1"/>
  <c r="I481" i="1" s="1"/>
  <c r="H510" i="1"/>
  <c r="I510" i="1" s="1"/>
  <c r="H568" i="1"/>
  <c r="I568" i="1" s="1"/>
  <c r="H580" i="1"/>
  <c r="I580" i="1" s="1"/>
  <c r="H599" i="1"/>
  <c r="I599" i="1" s="1"/>
  <c r="H628" i="1"/>
  <c r="I628" i="1" s="1"/>
  <c r="I627" i="1" s="1"/>
  <c r="H634" i="1"/>
  <c r="I634" i="1" s="1"/>
  <c r="I629" i="1" s="1"/>
  <c r="H655" i="1"/>
  <c r="I655" i="1" s="1"/>
  <c r="H659" i="1"/>
  <c r="I659" i="1" s="1"/>
  <c r="H749" i="1"/>
  <c r="I749" i="1" s="1"/>
  <c r="H854" i="1"/>
  <c r="I854" i="1" s="1"/>
  <c r="H878" i="1"/>
  <c r="I878" i="1" s="1"/>
  <c r="I876" i="1" s="1"/>
  <c r="H728" i="1"/>
  <c r="I728" i="1" s="1"/>
  <c r="H907" i="1"/>
  <c r="I907" i="1" s="1"/>
  <c r="H915" i="1"/>
  <c r="I915" i="1" s="1"/>
  <c r="H923" i="1"/>
  <c r="I923" i="1" s="1"/>
  <c r="H935" i="1"/>
  <c r="I935" i="1" s="1"/>
  <c r="H939" i="1"/>
  <c r="I939" i="1" s="1"/>
  <c r="H943" i="1"/>
  <c r="I943" i="1" s="1"/>
  <c r="H953" i="1"/>
  <c r="I953" i="1" s="1"/>
  <c r="H963" i="1"/>
  <c r="I963" i="1" s="1"/>
  <c r="H1073" i="1"/>
  <c r="I1073" i="1" s="1"/>
  <c r="H1077" i="1"/>
  <c r="I1077" i="1" s="1"/>
  <c r="H1081" i="1"/>
  <c r="I1081" i="1" s="1"/>
  <c r="I1094" i="1"/>
  <c r="H777" i="1"/>
  <c r="I777" i="1" s="1"/>
  <c r="H786" i="1"/>
  <c r="I786" i="1" s="1"/>
  <c r="H931" i="1"/>
  <c r="I931" i="1" s="1"/>
  <c r="H215" i="1"/>
  <c r="I215" i="1" s="1"/>
  <c r="H239" i="1"/>
  <c r="I239" i="1" s="1"/>
  <c r="I237" i="1" s="1"/>
  <c r="H307" i="1"/>
  <c r="I307" i="1" s="1"/>
  <c r="H311" i="1"/>
  <c r="I311" i="1" s="1"/>
  <c r="H341" i="1"/>
  <c r="I341" i="1" s="1"/>
  <c r="I415" i="1"/>
  <c r="H436" i="1"/>
  <c r="I436" i="1" s="1"/>
  <c r="H441" i="1"/>
  <c r="I441" i="1" s="1"/>
  <c r="H445" i="1"/>
  <c r="I445" i="1" s="1"/>
  <c r="H482" i="1"/>
  <c r="I482" i="1" s="1"/>
  <c r="H523" i="1"/>
  <c r="I523" i="1" s="1"/>
  <c r="H553" i="1"/>
  <c r="I553" i="1" s="1"/>
  <c r="H560" i="1"/>
  <c r="I560" i="1" s="1"/>
  <c r="H595" i="1"/>
  <c r="I595" i="1" s="1"/>
  <c r="H638" i="1"/>
  <c r="I638" i="1" s="1"/>
  <c r="I637" i="1" s="1"/>
  <c r="H681" i="1"/>
  <c r="I681" i="1" s="1"/>
  <c r="H745" i="1"/>
  <c r="I745" i="1" s="1"/>
  <c r="H755" i="1"/>
  <c r="I755" i="1" s="1"/>
  <c r="H771" i="1"/>
  <c r="I771" i="1" s="1"/>
  <c r="H801" i="1"/>
  <c r="I801" i="1" s="1"/>
  <c r="H834" i="1"/>
  <c r="I834" i="1" s="1"/>
  <c r="H985" i="1"/>
  <c r="I985" i="1" s="1"/>
  <c r="I984" i="1" s="1"/>
  <c r="H998" i="1"/>
  <c r="I998" i="1" s="1"/>
  <c r="H1007" i="1"/>
  <c r="I1007" i="1" s="1"/>
  <c r="H1011" i="1"/>
  <c r="I1011" i="1" s="1"/>
  <c r="H1019" i="1"/>
  <c r="I1019" i="1" s="1"/>
  <c r="H1027" i="1"/>
  <c r="I1027" i="1" s="1"/>
  <c r="H1033" i="1"/>
  <c r="I1033" i="1" s="1"/>
  <c r="H608" i="1"/>
  <c r="I608" i="1" s="1"/>
  <c r="H612" i="1"/>
  <c r="I612" i="1" s="1"/>
  <c r="H650" i="1"/>
  <c r="I650" i="1" s="1"/>
  <c r="H727" i="1"/>
  <c r="I727" i="1" s="1"/>
  <c r="H731" i="1"/>
  <c r="I731" i="1" s="1"/>
  <c r="H765" i="1"/>
  <c r="I765" i="1" s="1"/>
  <c r="H776" i="1"/>
  <c r="I776" i="1" s="1"/>
  <c r="H785" i="1"/>
  <c r="I785" i="1" s="1"/>
  <c r="H906" i="1"/>
  <c r="I906" i="1" s="1"/>
  <c r="I901" i="1" s="1"/>
  <c r="H914" i="1"/>
  <c r="I914" i="1" s="1"/>
  <c r="H922" i="1"/>
  <c r="I922" i="1" s="1"/>
  <c r="H930" i="1"/>
  <c r="I930" i="1" s="1"/>
  <c r="H942" i="1"/>
  <c r="I942" i="1" s="1"/>
  <c r="H966" i="1"/>
  <c r="I966" i="1" s="1"/>
  <c r="H1053" i="1"/>
  <c r="I1053" i="1" s="1"/>
  <c r="I1050" i="1" s="1"/>
  <c r="H1072" i="1"/>
  <c r="I1072" i="1" s="1"/>
  <c r="H1080" i="1"/>
  <c r="I1080" i="1" s="1"/>
  <c r="H1092" i="1"/>
  <c r="I1092" i="1" s="1"/>
  <c r="I1090" i="1" s="1"/>
  <c r="H685" i="1"/>
  <c r="I685" i="1" s="1"/>
  <c r="H706" i="1"/>
  <c r="I706" i="1" s="1"/>
  <c r="H790" i="1"/>
  <c r="I790" i="1" s="1"/>
  <c r="H821" i="1"/>
  <c r="I821" i="1" s="1"/>
  <c r="H827" i="1"/>
  <c r="I827" i="1" s="1"/>
  <c r="H833" i="1"/>
  <c r="I833" i="1" s="1"/>
  <c r="H842" i="1"/>
  <c r="I842" i="1" s="1"/>
  <c r="H850" i="1"/>
  <c r="I850" i="1" s="1"/>
  <c r="H858" i="1"/>
  <c r="I858" i="1" s="1"/>
  <c r="H868" i="1"/>
  <c r="I868" i="1" s="1"/>
  <c r="H872" i="1"/>
  <c r="I872" i="1" s="1"/>
  <c r="H888" i="1"/>
  <c r="I888" i="1" s="1"/>
  <c r="H895" i="1"/>
  <c r="I895" i="1" s="1"/>
  <c r="H1056" i="1"/>
  <c r="I1056" i="1" s="1"/>
  <c r="H1060" i="1"/>
  <c r="I1060" i="1" s="1"/>
  <c r="H1104" i="1"/>
  <c r="I1104" i="1" s="1"/>
  <c r="H1111" i="1"/>
  <c r="I1111" i="1" s="1"/>
  <c r="H1119" i="1"/>
  <c r="I1119" i="1" s="1"/>
  <c r="H1127" i="1"/>
  <c r="I1127" i="1" s="1"/>
  <c r="H1131" i="1"/>
  <c r="I1131" i="1" s="1"/>
  <c r="H1139" i="1"/>
  <c r="I1139" i="1" s="1"/>
  <c r="I1138" i="1" s="1"/>
  <c r="I645" i="1" l="1"/>
  <c r="I734" i="1"/>
  <c r="I1031" i="1"/>
  <c r="I947" i="1"/>
  <c r="I900" i="1" s="1"/>
  <c r="I174" i="1"/>
  <c r="I698" i="1"/>
  <c r="I336" i="1"/>
  <c r="I974" i="1"/>
  <c r="I1109" i="1"/>
  <c r="I153" i="1"/>
  <c r="I528" i="1"/>
  <c r="I279" i="1"/>
  <c r="I467" i="1"/>
  <c r="I1070" i="1"/>
  <c r="I687" i="1"/>
  <c r="I1103" i="1"/>
  <c r="I818" i="1"/>
  <c r="I122" i="1"/>
  <c r="I1083" i="1"/>
  <c r="I794" i="1"/>
  <c r="I758" i="1"/>
  <c r="I460" i="1"/>
  <c r="I68" i="1"/>
  <c r="I6" i="1"/>
  <c r="I5" i="1" s="1"/>
  <c r="I1039" i="1"/>
  <c r="I49" i="1"/>
  <c r="I995" i="1"/>
  <c r="I99" i="1"/>
  <c r="I64" i="1" s="1"/>
  <c r="I187" i="1"/>
  <c r="I23" i="1"/>
  <c r="I959" i="1"/>
  <c r="I672" i="1"/>
  <c r="I117" i="1"/>
  <c r="I994" i="1"/>
  <c r="I622" i="1"/>
  <c r="I615" i="1" s="1"/>
  <c r="I867" i="1"/>
  <c r="I1098" i="1"/>
  <c r="I839" i="1"/>
  <c r="I519" i="1"/>
  <c r="I721" i="1"/>
  <c r="I480" i="1"/>
  <c r="I575" i="1"/>
  <c r="I710" i="1"/>
  <c r="I890" i="1"/>
  <c r="I880" i="1"/>
  <c r="I744" i="1"/>
  <c r="I556" i="1"/>
  <c r="I545" i="1"/>
  <c r="I318" i="1"/>
  <c r="I661" i="1"/>
  <c r="I636" i="1" s="1"/>
  <c r="I491" i="1"/>
  <c r="I210" i="1"/>
  <c r="I1055" i="1"/>
  <c r="I775" i="1"/>
  <c r="I509" i="1"/>
  <c r="I466" i="1"/>
  <c r="I304" i="1"/>
  <c r="I203" i="1"/>
  <c r="I303" i="1" l="1"/>
  <c r="I838" i="1"/>
  <c r="I1069" i="1"/>
  <c r="I837" i="1" s="1"/>
  <c r="I63" i="1" s="1"/>
</calcChain>
</file>

<file path=xl/sharedStrings.xml><?xml version="1.0" encoding="utf-8"?>
<sst xmlns="http://schemas.openxmlformats.org/spreadsheetml/2006/main" count="3188" uniqueCount="1984">
  <si>
    <t>LOCAL:</t>
  </si>
  <si>
    <t>URCA - RIO DE JANEIRO - RJ</t>
  </si>
  <si>
    <t>ITEM</t>
  </si>
  <si>
    <t>DESCRIÇÃO</t>
  </si>
  <si>
    <t>UNIDADE</t>
  </si>
  <si>
    <t>QUANT URCA</t>
  </si>
  <si>
    <t>MAT.</t>
  </si>
  <si>
    <t>M.O.</t>
  </si>
  <si>
    <t>EQ.</t>
  </si>
  <si>
    <t>TOTAL</t>
  </si>
  <si>
    <t>ADMINISTRAÇÃO, CANTEIRO DE OBRAS E LOGÍSTICA</t>
  </si>
  <si>
    <t>-</t>
  </si>
  <si>
    <t>01.01</t>
  </si>
  <si>
    <t>ADMINISTRAÇÃO LOCAL DA OBRA</t>
  </si>
  <si>
    <t>01.01.01</t>
  </si>
  <si>
    <t>ENGENHEIRO CIVIL DE OBRA PLENO COM ENCARGOS COMPLEMENTARES</t>
  </si>
  <si>
    <t>MES</t>
  </si>
  <si>
    <t>01.01.02</t>
  </si>
  <si>
    <t>ENGENHEIRO ELETRICISTA COM ENCARGOS COMPLEMENTARES</t>
  </si>
  <si>
    <t>01.01.03</t>
  </si>
  <si>
    <t>AUXILIAR TÉCNICO / ASSISTENTE DE ENGENHARIA COM ENCARGOS COMPLEMENTARES</t>
  </si>
  <si>
    <t>01.01.04</t>
  </si>
  <si>
    <t>TECNICO DE EDIFICACOES COM ENCARGOS COMPLEMENTARES</t>
  </si>
  <si>
    <t>01.01.05</t>
  </si>
  <si>
    <t>MESTRE DE OBRAS COM ENCARGOS COMPLEMENTARES</t>
  </si>
  <si>
    <t>01.01.06</t>
  </si>
  <si>
    <t>ENCARREGADO GERAL DE OBRAS COM ENCARGOS COMPLEMENTARES</t>
  </si>
  <si>
    <t>01.01.07</t>
  </si>
  <si>
    <t>TÉCNICO EM SEGURANÇA DO TRABALHO COM ENCARGOS COMPLEMENTARES</t>
  </si>
  <si>
    <t>H</t>
  </si>
  <si>
    <t>01.01.08</t>
  </si>
  <si>
    <t>01.01.09</t>
  </si>
  <si>
    <t>MAO-DE-OBRA DE COMPRADOR,INCLUSIVE ENCARGOS SOCIAIS</t>
  </si>
  <si>
    <t>01.01.10</t>
  </si>
  <si>
    <t>AUXILIAR DE ESCRITORIO COM ENCARGOS COMPLEMENTARES</t>
  </si>
  <si>
    <t>01.01.11</t>
  </si>
  <si>
    <t>ALMOXARIFE COM ENCARGOS COMPLEMENTARES</t>
  </si>
  <si>
    <t>01.01.12</t>
  </si>
  <si>
    <t>VIGIA NOTURNO COM ENCARGOS COMPLEMENTARES</t>
  </si>
  <si>
    <t>01.01.13</t>
  </si>
  <si>
    <t>VIGIA DIURNO COM ENCARGOS COMPLEMENTARES</t>
  </si>
  <si>
    <t>01.01.14</t>
  </si>
  <si>
    <t>TOPOGRAFO COM ENCARGOS COMPLEMENTARES</t>
  </si>
  <si>
    <t>01.01.15</t>
  </si>
  <si>
    <t>AUXILIAR DE TOPÓGRAFO COM ENCARGOS COMPLEMENTARES</t>
  </si>
  <si>
    <t>01.02</t>
  </si>
  <si>
    <t>IMPLANTAÇÃO E MANUTENÇÃO DO CANTEIRO DE OBRAS</t>
  </si>
  <si>
    <t>01.02.01</t>
  </si>
  <si>
    <t>MOBILIZACAO E DESMOBILIZACAO DE CANTEIRO</t>
  </si>
  <si>
    <t>UN</t>
  </si>
  <si>
    <t>01.02.02</t>
  </si>
  <si>
    <t>INSTALACAO PROVISORIA DE AGUA/LUZ/FORCA/ESGOTOS</t>
  </si>
  <si>
    <t>01.02.03</t>
  </si>
  <si>
    <t>LOCAÇÃO DE CONTAINER TIPO ESCRITÓRIO COM 1 VASO SANITÁRIO, 1 LAVATÓRIO E 1 PONTO PARA CHUVEIRO - ÁREA MÍNIMA DE 13,80 M²</t>
  </si>
  <si>
    <t>UNMES</t>
  </si>
  <si>
    <t>01.02.04</t>
  </si>
  <si>
    <t>LOCAÇÃO DE CONTAINER TIPO SANITÁRIO COM 2 VASOS SANITÁRIOS, 2 LAVATÓRIOS, 2 MICTÓRIOS E 4 PONTOS PARA CHUVEIRO - ÁREA MÍNIMA DE 13,80 M²</t>
  </si>
  <si>
    <t>01.02.05</t>
  </si>
  <si>
    <t>LOCAÇÃO DE CONTAINER COM ISOLAMENTO TÉRMICO, TIPO 8, PARA VESTIÁRIO DE OBRA COM OITO (8) BANCOS E CINCO (5) ARMÁRIOS, COM MEDIDAS REFERENCIAIS DE (6) METROS COMPRIMENTO, (2,3) METROS LARGURA E (2,5) METROS ALTURA ÚTIL INTERNA, INCLUSIVE LIGAÇÕES ELÉTRICAS INTERNAS, EXCLUSIVE MOBILIZAÇÃO/DESMOBILIZAÇÃO E LIGAÇÕES PROVISÓRIAS EXTERNAS</t>
  </si>
  <si>
    <t>MÊS</t>
  </si>
  <si>
    <t>01.02.06</t>
  </si>
  <si>
    <t>LOCAÇÃO DE CONTAINER TIPO DEPÓSITO - ÁREA MÍNIMA DE 13,80 M²</t>
  </si>
  <si>
    <t>01.02.07</t>
  </si>
  <si>
    <t>LOCAÇÃO DE CONTAINER TIPO GUARITA - ÁREA MÍNIMA DE 4,60 M²</t>
  </si>
  <si>
    <t>01.02.08</t>
  </si>
  <si>
    <t>TAPUME MÓVEL PARA FECHAMENTO DE ÁREAS</t>
  </si>
  <si>
    <t>M²</t>
  </si>
  <si>
    <t>01.02.09</t>
  </si>
  <si>
    <t>TAPUME COM TELHA METÁLICA. AF_05/2018</t>
  </si>
  <si>
    <t>01.02.10</t>
  </si>
  <si>
    <t>EXECUÇÃO DE CENTRAL DE ARMADURA EM CANTEIRO DE OBRA, NÃO INCLUSO MOBILIÁRIO E EQUIPAMENTOS. AF_04/2016</t>
  </si>
  <si>
    <t>01.02.11</t>
  </si>
  <si>
    <t>EXECUÇÃO DE CENTRAL DE FÔRMAS, PRODUÇÃO DE ARGAMASSA OU CONCRETO EM CANTEIRO DE OBRA, NÃO INCLUSO MOBILIÁRIO E EQUIPAMENTOS. AF_04/2016</t>
  </si>
  <si>
    <t>01.02.12</t>
  </si>
  <si>
    <t>DESPESAS GERAIS DE MANUTENCAO CANTEIRO DE OBRAS</t>
  </si>
  <si>
    <t>01.02.13</t>
  </si>
  <si>
    <t>PLACA DE RESP.TECNICA-MADEIRA/CHAPA GALVANIZADA 26(3,0X1,5 M)</t>
  </si>
  <si>
    <t>01.03</t>
  </si>
  <si>
    <t>MÁQUINAS, EQUIPAMENTOS E VEÍCULOS</t>
  </si>
  <si>
    <t>01.03.01</t>
  </si>
  <si>
    <t>LOCACAO DE ANDAIME METALICO TUBULAR DE ENCAIXE, TIPO DE TORRE, COM LARGURA DE 1 ATE 1,5 M E ALTURA DE *1,00* M (INCLUSO SAPATAS FIXAS OU RODIZIOS)</t>
  </si>
  <si>
    <t>MXMES</t>
  </si>
  <si>
    <t>01.03.02</t>
  </si>
  <si>
    <t>EXECUÇÃO DE RESERVATÓRIO ELEVADO DE ÁGUA (2000 LITROS) EM CANTEIRO DE OBRA, APOIADO EM ESTRUTURA DE MADEIRA. AF_02/2016</t>
  </si>
  <si>
    <t>01.03.03</t>
  </si>
  <si>
    <t>ALUGUEL DE CACAMBA 48 HORAS COM RETIRADA</t>
  </si>
  <si>
    <t>01.04</t>
  </si>
  <si>
    <t>DESPESAS GERAIS E DE CONSUMO</t>
  </si>
  <si>
    <t>01.04.01</t>
  </si>
  <si>
    <t>MOBILIARIO PARA ESCRITORIO OBRAS</t>
  </si>
  <si>
    <t>CJ</t>
  </si>
  <si>
    <t>01.04.02</t>
  </si>
  <si>
    <t>EQUIPE DE TOPOGRAFIA PARA TRABALHOS EXCLUSIVOS DE CAMPO - DIÁRIA INCLUINDO TRANSPORTE E ESTADIA</t>
  </si>
  <si>
    <t>DIA</t>
  </si>
  <si>
    <t>01.04.03</t>
  </si>
  <si>
    <t>MAO-DE-OBRA DE ARQUITETO OU ENGENHEIRO PLENO,PARA SERVICOS D E CONSULTORIA DE ENGENHARIA E ARQUITETURA,INCLUSIVE ENCARGOS SOCIAIS</t>
  </si>
  <si>
    <t>01.04.04</t>
  </si>
  <si>
    <t>UNIDADE DE REFERENCIA,PARA DESPESAS DENTRO DO CANTEIRO DE OBRAS,TAIS COMO:CONSUMO DE AGUA,TELEFONE,ENERGIA ELETRICA, ETC,E DEMAIS ITENS QUE COMPLEMENTAM AS DESPESAS JA CONSIDERA DAS.</t>
  </si>
  <si>
    <t>UR</t>
  </si>
  <si>
    <t>01.05</t>
  </si>
  <si>
    <t>DEMOLIÇÃO</t>
  </si>
  <si>
    <t>01.05.01</t>
  </si>
  <si>
    <t>DEMOLIÇÃO MECANIZADA DE CONCRETO SIMPLES, INCLUSIVE FRAGMENTAÇÃO E ACOMODAÇÃO DO MATERIAL</t>
  </si>
  <si>
    <t>M³</t>
  </si>
  <si>
    <t>01.05.02</t>
  </si>
  <si>
    <t>DEMOLIÇÃO DE PILARES E VIGAS EM CONCRETO ARMADO, DE FORMA MECANIZADA COM MARTELETE, SEM REAPROVEITAMENTO. AF_12/2017</t>
  </si>
  <si>
    <t>01.05.03</t>
  </si>
  <si>
    <t>DEMOLIÇÃO DE ALVENARIA PARA QUALQUER TIPO DE BLOCO, DE FORMA MECANIZADA, SEM REAPROVEITAMENTO. AF_12/2017</t>
  </si>
  <si>
    <t>01.05.04</t>
  </si>
  <si>
    <t>REMOÇÃO DE JANELAS, DE FORMA MANUAL, SEM REAPROVEITAMENTO. AF_12/2017</t>
  </si>
  <si>
    <t>01.05.05</t>
  </si>
  <si>
    <t>REMOÇÃO DE PORTAS, DE FORMA MANUAL, SEM REAPROVEITAMENTO. AF_12/2017</t>
  </si>
  <si>
    <t>01.05.06</t>
  </si>
  <si>
    <t>REMOÇÃO DE LOUÇAS, DE FORMA MANUAL, SEM REAPROVEITAMENTO. AF_12/2017</t>
  </si>
  <si>
    <t>01.05.07</t>
  </si>
  <si>
    <t>REMOÇÃO DE TELHAS DE FIBROCIMENTO, METÁLICA E CERÂMICA, DE FORMA MECANIZADA, COM USO DE GUINDASTE, SEM REAPROVEITAMENTO. AF_12/2017</t>
  </si>
  <si>
    <t>01.05.08</t>
  </si>
  <si>
    <t>REMOÇÃO DE TRAMA METÁLICA PARA COBERTURA, DE FORMA MANUAL, SEM REAPROVEITAMENTO. AF_12/2017</t>
  </si>
  <si>
    <t>01.05.09</t>
  </si>
  <si>
    <t>TAXA DE DESTINAÇÃO DE RESÍDUO SÓLIDO EM ATERRO, TIPO INERTE</t>
  </si>
  <si>
    <t>T</t>
  </si>
  <si>
    <t>01.05.10</t>
  </si>
  <si>
    <t>CARGA, MANOBRA E DESCARGA DE ENTULHO EM CAMINHÃO BASCULANTE 6 M³ - CARGA COM ESCAVADEIRA HIDRÁULICA (CAÇAMBA DE 0,80 M³ / 111 HP) E DESCARGA LIVRE (UNIDADE: M3). AF_07/2020</t>
  </si>
  <si>
    <t>01.05.11</t>
  </si>
  <si>
    <t>TRANSPORTE COM CAMINHÃO BASCULANTE DE 10 M³, EM VIA URBANA PAVIMENTADA, DMT ATÉ 30 KM (UNIDADE: M3XKM). AF_07/2020</t>
  </si>
  <si>
    <t>M3XKM</t>
  </si>
  <si>
    <t>01.05.12</t>
  </si>
  <si>
    <t>TRANSPORTE COM CAMINHÃO BASCULANTE DE 10 M³, EM VIA URBANA PAVIMENTADA, ADICIONAL PARA DMT EXCEDENTE A 30 KM (UNIDADE: M3XKM). AF_07/2020</t>
  </si>
  <si>
    <t>OBRAS EM GERAL</t>
  </si>
  <si>
    <t>02.01</t>
  </si>
  <si>
    <t>FUNDAÇÕES E ESTRUTURA</t>
  </si>
  <si>
    <t>02.01.01</t>
  </si>
  <si>
    <t>SERVIÇOS PRELIMINARES</t>
  </si>
  <si>
    <t>02.01.01.01</t>
  </si>
  <si>
    <t>LOCACAO CONVENCIONAL DE OBRA, UTILIZANDO GABARITO DE TÁBUAS CORRIDAS PONTALETADAS A CADA 2,00M - 2 UTILIZAÇÕES. AF_10/2018</t>
  </si>
  <si>
    <t>M</t>
  </si>
  <si>
    <t>02.01.02</t>
  </si>
  <si>
    <t>MOVIMENTO DE TERRA E BOTA-FORA</t>
  </si>
  <si>
    <t>02.01.02.01</t>
  </si>
  <si>
    <t>ESCAVAÇÃO HORIZONTAL, INCLUINDO CARGA E DESCARGA EM SOLO DE 1A CATEGORIA COM TRATOR DE ESTEIRAS (100HP/LÂMINA: 2,19M3). AF_07/2020</t>
  </si>
  <si>
    <t>02.01.02.02</t>
  </si>
  <si>
    <t>ESCAVAÇÃO MANUAL PARA BLOCO DE COROAMENTO OU SAPATA (INCLUINDO ESCAVAÇÃO PARA COLOCAÇÃO DE FÔRMAS). AF_06/2017</t>
  </si>
  <si>
    <t>02.01.02.03</t>
  </si>
  <si>
    <t>REATERRO MANUAL DE VALAS COM COMPACTAÇÃO MECANIZADA. AF_04/2016</t>
  </si>
  <si>
    <t>02.01.02.04</t>
  </si>
  <si>
    <t>02.01.02.05</t>
  </si>
  <si>
    <t>02.01.02.06</t>
  </si>
  <si>
    <t>02.01.02.07</t>
  </si>
  <si>
    <t>APILOAMENTO COM MACO DE 30KG</t>
  </si>
  <si>
    <t>02.01.03</t>
  </si>
  <si>
    <t>EXECUÇÃO DE ESTACAS</t>
  </si>
  <si>
    <t>02.01.03.01</t>
  </si>
  <si>
    <t>TAXA DE MOBILIZAÇÃO E DESMOBILIZAÇÃO DE EQUIPAMENTOS PARA EXECUÇÃO DE ESTACA TIPO HÉLICE CONTÍNUA EM SOLO</t>
  </si>
  <si>
    <t>TX</t>
  </si>
  <si>
    <t>02.01.03.02</t>
  </si>
  <si>
    <t>EXECUÇÃO DE ESTACA TIPO HÉLICE CONTÍNUA D = 600 MM, EXCETO CONCRETO</t>
  </si>
  <si>
    <t>02.01.03.03</t>
  </si>
  <si>
    <t>ARMAÇÃO DE BLOCO, VIGA BALDRAME OU SAPATA UTILIZANDO AÇO CA-50 DE 8 MM - MONTAGEM. AF_06/2017</t>
  </si>
  <si>
    <t>KG</t>
  </si>
  <si>
    <t>02.01.03.04</t>
  </si>
  <si>
    <t>ARMAÇÃO DE BLOCO, VIGA BALDRAME OU SAPATA UTILIZANDO AÇO CA-50 DE 16 MM - MONTAGEM. AF_06/2017</t>
  </si>
  <si>
    <t>02.01.03.05</t>
  </si>
  <si>
    <t>CONCRETO USINADO, FCK = 30 MPA - PARA BOMBEAMENTO</t>
  </si>
  <si>
    <t>02.01.03.06</t>
  </si>
  <si>
    <t>SERVICO BOMBEAMENTO CONCRETO USINADO ATE PECAS ESTRUTURAIS</t>
  </si>
  <si>
    <t>02.01.03.07</t>
  </si>
  <si>
    <t>ARRASAMENTO MECANICO DE ESTACA DE CONCRETO ARMADO, DIAMETROS DE 41 CM A 60 CM. AF_05/2021</t>
  </si>
  <si>
    <t>02.01.04</t>
  </si>
  <si>
    <t>BLOCOS, SAPATAS E BALDRAMES</t>
  </si>
  <si>
    <t>02.01.04.01</t>
  </si>
  <si>
    <t>LASTRO DE CONCRETO MAGRO, APLICADO EM BLOCOS DE COROAMENTO OU SAPATAS. AF_08/2017</t>
  </si>
  <si>
    <t>02.01.04.02</t>
  </si>
  <si>
    <t>FORMA PLANA PARA SAPATAS, EM MADEIRA MACIÇA, 02 USOS, INCLUSIVE ESCORAMENTO</t>
  </si>
  <si>
    <t>02.01.04.03</t>
  </si>
  <si>
    <t>ARMAÇÃO DE BLOCO, VIGA BALDRAME OU SAPATA UTILIZANDO AÇO CA-50 DE 6,3 MM - MONTAGEM. AF_06/2017</t>
  </si>
  <si>
    <t>02.01.04.04</t>
  </si>
  <si>
    <t>02.01.04.05</t>
  </si>
  <si>
    <t>ARMAÇÃO DE BLOCO, VIGA BALDRAME OU SAPATA UTILIZANDO AÇO CA-50 DE 10 MM - MONTAGEM. AF_06/2017</t>
  </si>
  <si>
    <t>02.01.04.06</t>
  </si>
  <si>
    <t>ARMAÇÃO DE BLOCO, VIGA BALDRAME OU SAPATA UTILIZANDO AÇO CA-50 DE 12,5 MM - MONTAGEM. AF_06/2017</t>
  </si>
  <si>
    <t>02.01.04.07</t>
  </si>
  <si>
    <t>02.01.04.08</t>
  </si>
  <si>
    <t>ARMAÇÃO DE BLOCO, VIGA BALDRAME OU SAPATA UTILIZANDO AÇO CA-50 DE 20 MM - MONTAGEM. AF_06/2017</t>
  </si>
  <si>
    <t>02.01.04.09</t>
  </si>
  <si>
    <t>02.01.04.10</t>
  </si>
  <si>
    <t>GRAUTE FGK=30 MPA; TRAÇO 1:0,9:1,2:0,6 (EM MASSA SECA DE CIMENTO/ AREIA GROSSA/ BRITA 0/ ADITIVO) - PREPARO MECÂNICO COM BETONEIRA 400 L. AF_09/2021</t>
  </si>
  <si>
    <t>02.01.04.11</t>
  </si>
  <si>
    <t>LANÇAMENTO E ADENSAMENTO DE CONCRETO OU MASSA EM FUNDAÇÃO</t>
  </si>
  <si>
    <t>02.01.05</t>
  </si>
  <si>
    <t>PAREDES DE CONTENÇÃO</t>
  </si>
  <si>
    <t>02.01.05.01</t>
  </si>
  <si>
    <t>ESTACA METÁLICA PARA FUNDAÇÃO, UTILIZANDO PERFIL LAMINADO HP310X79 (EXCLUSIVE MOBILIZAÇÃO E DESMOBILIZAÇÃO). AF_01/2020</t>
  </si>
  <si>
    <t>02.01.05.02</t>
  </si>
  <si>
    <t>ESTACA PERFIL METALICO DUPLO I - 10""X4.5/8"" 80TF</t>
  </si>
  <si>
    <t>02.01.05.03</t>
  </si>
  <si>
    <t>EMENDA EM ESTACA TRILHO TR-32 A TR-68 KGF/M</t>
  </si>
  <si>
    <t>02.01.05.04</t>
  </si>
  <si>
    <t>CORTE DE TRILHOS DE ACO TR-37KGF/M COM ELETRODOS ELETRICOS</t>
  </si>
  <si>
    <t>02.01.05.05</t>
  </si>
  <si>
    <t>LAJE PRE-FABRICADA PRE-LAJE TRELICADA UNIDIR C/ EPS PLT20-100KGF/M2</t>
  </si>
  <si>
    <t>02.01.05.06</t>
  </si>
  <si>
    <t>02.01.05.07</t>
  </si>
  <si>
    <t>LANÇAMENTO E ADENSAMENTO DE CONCRETO OU MASSA EM ESTRUTURA</t>
  </si>
  <si>
    <t>02.01.05.08</t>
  </si>
  <si>
    <t>GEOTÊXTIL NÃO TECIDO 100% POLIÉSTER, RESISTÊNCIA A TRAÇÃO DE 31 KN/M (RT-31), INSTALADO EM DRENO - FORNECIMENTO E INSTALAÇÃO. AF_07/2021</t>
  </si>
  <si>
    <t>02.01.05.09</t>
  </si>
  <si>
    <t>ENCHIMENTO DE AREIA PARA DRENO, LANÇAMENTO MANUAL. AF_07/2021</t>
  </si>
  <si>
    <t>02.01.05.10</t>
  </si>
  <si>
    <t>02.01.06</t>
  </si>
  <si>
    <t>TIRANTES</t>
  </si>
  <si>
    <t>02.01.06.01</t>
  </si>
  <si>
    <t>INJECAO NATA CIMENTO EM TIRANTES ATE 50 TF</t>
  </si>
  <si>
    <t>02.01.06.02</t>
  </si>
  <si>
    <t>EXECUÇÃO DE PROTEÇÃO DA CABEÇA DO TIRANTE COM USO DE FÔRMAS EM CHAPA COMPENSADA PLASTIFICADA DE MADEIRA E CONCRETO FCK =15 MPA. AF_07/2016</t>
  </si>
  <si>
    <t>02.01.06.03</t>
  </si>
  <si>
    <t>02.01.06.04</t>
  </si>
  <si>
    <t>CHUMBADOR TIRANTE ACO CA-50 5/8""</t>
  </si>
  <si>
    <t>02.01.07</t>
  </si>
  <si>
    <t>CONCRETO ARMADO</t>
  </si>
  <si>
    <t>02.01.07.01</t>
  </si>
  <si>
    <t>FORNECIMENTO E MONTAGEM DO SISTEMA DE COBERTURA METÁLICA ROLL-ON®, VIGAS DE APOIO, FECHAMENTO LATERAL, ESTRUTURA AUXILIAR DE FECHAMENTO</t>
  </si>
  <si>
    <t>02.01.07.01.01</t>
  </si>
  <si>
    <t>PILARES PRÉMOLDADOS - FORNECIMENTO E MONTAGEM</t>
  </si>
  <si>
    <t>M3</t>
  </si>
  <si>
    <t>02.01.07.02</t>
  </si>
  <si>
    <t>PRÉ-LAJE</t>
  </si>
  <si>
    <t>02.01.07.02.02</t>
  </si>
  <si>
    <t>LAJE PRÉ-FABRICADA UNIDIRECIONAL EM VIGA TRELIÇADA/LAJOTA EM EPS LT 16 (12 + 4), COM CAPA DE CONCRETO DE 25 MPA</t>
  </si>
  <si>
    <t>02.01.07.03</t>
  </si>
  <si>
    <t>ESTRUTURA NOLDADA IN LOCO</t>
  </si>
  <si>
    <t>02.01.07.03.03</t>
  </si>
  <si>
    <t>FORMA PLANA EM COMPENSADO PARA ESTRUTURA APARENTE COM CIMBRAMENTO TUBULAR METÁLICO</t>
  </si>
  <si>
    <t>02.01.07.03.04</t>
  </si>
  <si>
    <t>SELANTE ENDURECEDOR DE CONCRETO ANTIPÓ</t>
  </si>
  <si>
    <t>02.01.07.03.05</t>
  </si>
  <si>
    <t>ARMAÇÃO DE PILAR OU VIGA DE UMA ESTRUTURA CONVENCIONAL DE CONCRETO ARMADO EM UM EDIFÍCIO DE MÚLTIPLOS PAVIMENTOS UTILIZANDO AÇO CA-60 DE 5,0 MM - MONTAGEM. AF_12/2015</t>
  </si>
  <si>
    <t>02.01.07.03.06</t>
  </si>
  <si>
    <t>ARMAÇÃO DE PILAR OU VIGA DE UMA ESTRUTURA CONVENCIONAL DE CONCRETO ARMADO EM UMA EDIFICAÇÃO TÉRREA OU SOBRADO UTILIZANDO AÇO CA-50 DE 6,3 MM - MONTAGEM. AF_12/2015</t>
  </si>
  <si>
    <t>02.01.07.03.07</t>
  </si>
  <si>
    <t>ARMAÇÃO DE PILAR OU VIGA DE UMA ESTRUTURA CONVENCIONAL DE CONCRETO ARMADO EM UMA EDIFICAÇÃO TÉRREA OU SOBRADO UTILIZANDO AÇO CA-50 DE 8,0 MM - MONTAGEM. AF_12/2015</t>
  </si>
  <si>
    <t>02.01.07.03.08</t>
  </si>
  <si>
    <t>ARMAÇÃO DE PILAR OU VIGA DE UMA ESTRUTURA CONVENCIONAL DE CONCRETO ARMADO EM UMA EDIFICAÇÃO TÉRREA OU SOBRADO UTILIZANDO AÇO CA-50 DE 10,0 MM - MONTAGEM. AF_12/2015</t>
  </si>
  <si>
    <t>02.01.07.03.09</t>
  </si>
  <si>
    <t>ARMAÇÃO DE PILAR OU VIGA DE UMA ESTRUTURA CONVENCIONAL DE CONCRETO ARMADO EM UMA EDIFICAÇÃO TÉRREA OU SOBRADO UTILIZANDO AÇO CA-50 DE 12,5 MM - MONTAGEM. AF_12/2015</t>
  </si>
  <si>
    <t>02.01.07.03.10</t>
  </si>
  <si>
    <t>ARMAÇÃO DE PILAR OU VIGA DE UMA ESTRUTURA CONVENCIONAL DE CONCRETO ARMADO EM UMA EDIFICAÇÃO TÉRREA OU SOBRADO UTILIZANDO AÇO CA-50 DE 16,0 MM - MONTAGEM. AF_12/2015</t>
  </si>
  <si>
    <t>02.01.07.03.11</t>
  </si>
  <si>
    <t>ARMAÇÃO DE PILAR OU VIGA DE UMA ESTRUTURA CONVENCIONAL DE CONCRETO ARMADO EM UMA EDIFICAÇÃO TÉRREA OU SOBRADO UTILIZANDO AÇO CA-50 DE 20,0 MM - MONTAGEM. AF_12/2015</t>
  </si>
  <si>
    <t>02.01.07.03.12</t>
  </si>
  <si>
    <t>TELA ELETROSOLDADA NERVURADA Q92 15X15CM 4,2MM(1,48KG/M2)</t>
  </si>
  <si>
    <t>02.01.07.03.13</t>
  </si>
  <si>
    <t>CONCRETO USINADO, FCK = 35 MPA - PARA BOMBEAMENTO</t>
  </si>
  <si>
    <t>02.01.07.03.14</t>
  </si>
  <si>
    <t>02.01.07.04</t>
  </si>
  <si>
    <t>RESERVATÓRIO DE REUSO</t>
  </si>
  <si>
    <t>02.01.07.04.01</t>
  </si>
  <si>
    <t>02.01.07.04.02</t>
  </si>
  <si>
    <t>02.01.07.04.03</t>
  </si>
  <si>
    <t>02.01.07.04.04</t>
  </si>
  <si>
    <t>02.01.07.04.05</t>
  </si>
  <si>
    <t>02.01.07.04.06</t>
  </si>
  <si>
    <t>02.01.07.04.07</t>
  </si>
  <si>
    <t>02.01.07.04.08</t>
  </si>
  <si>
    <t>02.01.07.04.09</t>
  </si>
  <si>
    <t>02.01.07.04.10</t>
  </si>
  <si>
    <t>02.01.07.04.11</t>
  </si>
  <si>
    <t>02.01.07.04.12</t>
  </si>
  <si>
    <t>ANEL PRÉ-MOLDADO DE CONCRETO COM DIÂMETRO DE 3,00 M</t>
  </si>
  <si>
    <t>02.01.07.04.13</t>
  </si>
  <si>
    <t>IMPERMEABILIZAÇÃO EM MANTA ASFÁLTICA COM ARMADURA, TIPO III-B, ESPESSURA DE 3 MM</t>
  </si>
  <si>
    <t>02.01.07.04.14</t>
  </si>
  <si>
    <t>ALÇAPÃO/TAMPA EM CHAPA DE FERRO COM PORTA CADEADO</t>
  </si>
  <si>
    <t>02.01.07.04.15</t>
  </si>
  <si>
    <t>ESCADA MARINHEIRO PERFIL 1.1/2"" ACO+BARRA CHATA VERT/HORIZ.</t>
  </si>
  <si>
    <t>02.01.07.05</t>
  </si>
  <si>
    <t>CAIXA DE DECANTAÇÃO</t>
  </si>
  <si>
    <t>02.01.07.05.01</t>
  </si>
  <si>
    <t>02.01.07.05.02</t>
  </si>
  <si>
    <t>02.01.07.05.03</t>
  </si>
  <si>
    <t>02.01.07.05.04</t>
  </si>
  <si>
    <t>02.01.07.05.05</t>
  </si>
  <si>
    <t>02.01.07.05.06</t>
  </si>
  <si>
    <t>BASE COM BRITA GRADUADA, EXCLUSIVE PÓ DE PEDRA E TRANSPORTE DA BRITA)</t>
  </si>
  <si>
    <t>02.01.07.05.07</t>
  </si>
  <si>
    <t>02.01.07.05.08</t>
  </si>
  <si>
    <t>02.01.07.05.09</t>
  </si>
  <si>
    <t>02.01.07.05.10</t>
  </si>
  <si>
    <t>ALVENARIA DE VEDAÇÃO DE BLOCOS VAZADOS DE CONCRETO APARENTE DE 19X19X39 CM (ESPESSURA 19 CM) E ARGAMASSA DE ASSENTAMENTO COM PREPARO EM BETONEIRA. AF_12/2021</t>
  </si>
  <si>
    <t>02.01.07.05.11</t>
  </si>
  <si>
    <t>02.01.07.05.12</t>
  </si>
  <si>
    <t>02.01.07.05.13</t>
  </si>
  <si>
    <t>02.01.08</t>
  </si>
  <si>
    <t>ESTRUTURA METÁLICA</t>
  </si>
  <si>
    <t>02.01.08.01</t>
  </si>
  <si>
    <t>FORNECIMENTO E MONTAGEM DE ESTRUTURA TUBULAR EM AÇO ASTM-A572 GRAU 50, SEM PINTURA</t>
  </si>
  <si>
    <t>02.01.08.02</t>
  </si>
  <si>
    <t>MONTAGEM PERFIL ACO ASTM A36 6"" LAMINADO + FIXACOES</t>
  </si>
  <si>
    <t>02.01.08.03</t>
  </si>
  <si>
    <t>FORNECIMENTO E MONTAGEM DE ESTRUTURA METALICA COM AÇO NAO PATINAVE (ASTM A36/A570)</t>
  </si>
  <si>
    <t>02.02</t>
  </si>
  <si>
    <t>ARQUITETURA</t>
  </si>
  <si>
    <t>02.02.01</t>
  </si>
  <si>
    <t>PAREDES E PAINEIS</t>
  </si>
  <si>
    <t>02.02.01.01</t>
  </si>
  <si>
    <t>02.02.01.02</t>
  </si>
  <si>
    <t>CONCRETO GROUT, PREPARADO NO LOCAL, LANCADO E ADENSADO</t>
  </si>
  <si>
    <t>02.02.01.03</t>
  </si>
  <si>
    <t>PAREDE COM PLACAS DE GESSO ACARTONADO (DRYWALL), PARA USO INTERNO, COM DUAS FACES DUPLAS E ESTRUTURA METÁLICA COM GUIAS DUPLAS, COM VÃOS. AF_06/2017_P</t>
  </si>
  <si>
    <t>02.02.01.04</t>
  </si>
  <si>
    <t>ELEMENTO VAZADO EM CONCRETO, TIPO QUADRICULADO DE 39 X 39 X 10 CM</t>
  </si>
  <si>
    <t>02.02.01.05</t>
  </si>
  <si>
    <t>DIVISÓRIA FIXA EM VIDRO TEMPERADO 10 MM, SEM ABERTURA. AF_01/2021</t>
  </si>
  <si>
    <t>02.02.01.06</t>
  </si>
  <si>
    <t>DIVISÓRIA SANITÁRIA EM PAINEL LAMINADO MELAMÍNICO ESTRUTURAL COM PERFIS EM ALUMÍNIO, INCLUSIVE FERRAGEM COMPLETA PARA VÃO DE PORTA</t>
  </si>
  <si>
    <t>02.02.01.07</t>
  </si>
  <si>
    <t>PORTA WC 0,60X1,80M COMPENSADO C/LAMINADO/FERRAGENS W.C.</t>
  </si>
  <si>
    <t>02.02.02</t>
  </si>
  <si>
    <t>DIVISÓRIAS</t>
  </si>
  <si>
    <t>02.02.02.01</t>
  </si>
  <si>
    <t>DIVISÓRIA MODULAR COM 60MM DE ESPESSURA FINAL E SISTEMA DE PERFIS DE PERÍMETRO E JUNTA SECA ENTRE VIDROS, MODULAÇÃO 1100MM PARA VIDROS. ESTRUTURA E PERFIS DE ACABAMENTOS TOTALMENTE EM ALUMÍNIO EXTRUDADO COM PAREDE DE 1,4MM NO ACABAMENTO PINTURA PRETA. VIDRO ÚNICO TEMPERADO INCOLOR COM 8MM DE ESPESSURA , ENCAIXILHADOS NOS PERFIS DE ALUMÍNIO ACOMODADOS POR MEIO DE PERFIL FLEXÍVEL EM PVC PARA PROTEÇÃO E ISOLAMENTO ACÚSTICO. ESTRUTURA E VIDROS COM BANDA ACÚSTICA EM TODO O PERÍMETRO.</t>
  </si>
  <si>
    <t>02.02.02.02</t>
  </si>
  <si>
    <t>PORTA SIMPLES DE GIRO CONFECCIONADA EM MDF COM 37MM DE ESPESSURA. REVESTIMENTO EM LAMINADO MELAMÍNICO DE BAIXA PRESSÃO BORDEADAS COM FITAS DE PVC NA MESMA COR DO REVESTIMENTO. DOBRADIÇAS EM ALUMÍNIO EXTRUDADO COM DESENHO PARA ENCAIXE NO PERFIL DO BATENTE, MAÇANETA TIPO ALÇA / ALAVANCA EM ZAMAC COM ACABAMENTO CROMO ACETINADO, REFERÊNCIA PADO MODELO CLASSIC 691-90E.</t>
  </si>
  <si>
    <t>02.02.03</t>
  </si>
  <si>
    <t>REVESTIMENTOS</t>
  </si>
  <si>
    <t>02.02.03.01</t>
  </si>
  <si>
    <t>CHAPISCO APLICADO EM ALVENARIAS E ESTRUTURAS DE CONCRETO INTERNAS, COM COLHER DE PEDREIRO. ARGAMASSA TRAÇO 1:3 COM PREPARO MANUAL. AF_06/2014</t>
  </si>
  <si>
    <t>02.02.03.02</t>
  </si>
  <si>
    <t>EMBOÇO, PARA RECEBIMENTO DE CERÂMICA, EM ARGAMASSA TRAÇO 1:2:8, PREPARO MANUAL, APLICADO MANUALMENTE EM FACES INTERNAS DE PAREDES, PARA AMBIENTE COM ÁREA MAIOR QUE 10M2, ESPESSURA DE 20MM, COM EXECUÇÃO DE TALISCAS. AF_06/2014</t>
  </si>
  <si>
    <t>02.02.03.03</t>
  </si>
  <si>
    <t>REBOCO INTERNO 5MM PAREDES ARGAMASSA PREFABRICADA</t>
  </si>
  <si>
    <t>02.02.03.04</t>
  </si>
  <si>
    <t>AZULEJO 20X20CM BRILHANTE BORDA ARRED. BRANCO EXTRA PIERINI</t>
  </si>
  <si>
    <t>02.02.03.05</t>
  </si>
  <si>
    <t>CERÂMICA REF LIVERPOOL MATT BLACK 7X24CM, PORTOBELLO OU SIMILAR</t>
  </si>
  <si>
    <t>02.02.03.06</t>
  </si>
  <si>
    <t>CERÂMICA REF LIVERPOOL MATT WHITE 7X24CM, PORTOBELLO OU SIMILAR</t>
  </si>
  <si>
    <t>02.02.03.07</t>
  </si>
  <si>
    <t>FECHAMENTO EM PLACA CIMENTÍCIA COM ESPESSURA DE 12 MM</t>
  </si>
  <si>
    <t>02.02.03.08</t>
  </si>
  <si>
    <t>FECHAMENTO EM PAINEL COM CHAPA PERFURADA EM INOX 304 - FURAÇÃO REDONDA Ø22,2MM COM DISPOSIÇÃO ALTERNADA LONGITUDINAL COM ESTRUTURA AUXILIAR JUNTO AOS PILARES PARA DESCIDA TUBULAÇÕES</t>
  </si>
  <si>
    <t>M2</t>
  </si>
  <si>
    <t>02.02.04</t>
  </si>
  <si>
    <t>PINTURA</t>
  </si>
  <si>
    <t>02.02.04.01</t>
  </si>
  <si>
    <t>PINTURA ACRILICA SEMI BRILHO PAREDE 2 DEMAOS COM EMASSAMENTO</t>
  </si>
  <si>
    <t>02.02.04.02</t>
  </si>
  <si>
    <t>PINTURA HIDROFUGANTE COM SILICONE, APLICAÇÃO MANUAL, 2 DEMÃOS. AF_05/2021</t>
  </si>
  <si>
    <t>02.02.04.03</t>
  </si>
  <si>
    <t>PINTURA COM TINTA ALQUÍDICA DE ACABAMENTO (ESMALTE SINTÉTICO ACETINADO) APLICADA A ROLO OU PINCEL SOBRE SUPERFÍCIES METÁLICAS (EXCETO PERFIL) EXECUTADO EM OBRA (02 DEMÃOS). AF_01/2020</t>
  </si>
  <si>
    <t>02.02.04.04</t>
  </si>
  <si>
    <t>PINTURA DE ACABAMENTO COM APLICAÇÃO DE FUNDO PREPARADOR EPOXI, 01 DEMÃO DE MASSA EPOXI E 02 DEMÃOS DE TINTA ESMALTE EPOXI BRANCO, E = 35 MICRA P/ DEMÃO - R1</t>
  </si>
  <si>
    <t>02.02.05</t>
  </si>
  <si>
    <t>PISOS</t>
  </si>
  <si>
    <t>02.02.05.01</t>
  </si>
  <si>
    <t>CONTRAPISO DE CONCRETO SOBRE TERRA</t>
  </si>
  <si>
    <t>02.02.05.01.01</t>
  </si>
  <si>
    <t>REGULARIZACAO MANUAL DE SOLO COM NIVELAMENTO E APILOAMENTO</t>
  </si>
  <si>
    <t>02.02.05.01.02</t>
  </si>
  <si>
    <t>02.02.05.01.03</t>
  </si>
  <si>
    <t>TELA ELETROSOLDADA NERVURADA Q113 30X10CM 3,8MM(2,11KG/M2)</t>
  </si>
  <si>
    <t>02.02.05.01.04</t>
  </si>
  <si>
    <t>EXECUÇÃO DE PISO DE CONCRETO COM CONCRETO MOLDADO IN LOCO, USINADO, ACABAMENTO CONVENCIONAL, ESPESSURA 12 CM, ARMADO. AF_07/2016</t>
  </si>
  <si>
    <t>02.02.06</t>
  </si>
  <si>
    <t>PAVIMENTAÇÃO (PISO ARMADO) TIPO 1</t>
  </si>
  <si>
    <t>02.02.06.01</t>
  </si>
  <si>
    <t>REGULARIZAÇÃO E COMPACTAÇÃO DE SUBLEITO DE SOLO PREDOMINANTEMENTE ARGILOSO. AF_11/2019</t>
  </si>
  <si>
    <t>02.02.06.02</t>
  </si>
  <si>
    <t>EXECUÇÃO E COMPACTAÇÃO DE BASE E OU SUB BASE PARA PAVIMENTAÇÃO DE BRITA GRADUADA SIMPLES TRATADA COM CIMENTO - EXCLUSIVE CARGA E TRANSPORTE. AF_11/2019</t>
  </si>
  <si>
    <t>02.02.06.03</t>
  </si>
  <si>
    <t>TELA ELETROSOLDADA NERVURADA Q-246 10X10CM 5,6MM (3,91KG/M2)</t>
  </si>
  <si>
    <t>02.02.06.04</t>
  </si>
  <si>
    <t>CONCRETAGEM DE RADIER, PISO DE CONCRETO OU LAJE SOBRE SOLO, FCK 30 MPA - LANÇAMENTO, ADENSAMENTO E ACABAMENTO. AF_09/2021</t>
  </si>
  <si>
    <t>02.02.06.05</t>
  </si>
  <si>
    <t>JUNTA DE ENCONTRO, SEÇÃO TRANSVERSAL DIM. 20MM, INCLUSIVE TARUGO E PREENCHIMENTO COM MASTIQUE MBT OU SIMILAR.</t>
  </si>
  <si>
    <t>02.02.06.06</t>
  </si>
  <si>
    <t>JUNTA SERRADA, DIMENSÕES 6X60MM, COM PREENCHIMENTO DE MASTIQUE DE POLIURETANO MBT, BASF OU SIMILAR, PARA PAVIMENTOS EM CONCRETO</t>
  </si>
  <si>
    <t>02.02.06.07</t>
  </si>
  <si>
    <t>JUNTA DE DILATAÇÃO OU VEDAÇÃO COM MASTIQUE DE SILICONE, 1,0 X 0,5 CM - INCLUSIVE GUIA DE APOIO EM POLIETILENO</t>
  </si>
  <si>
    <t>02.02.06.08</t>
  </si>
  <si>
    <t>FORNECIMENTO E INSTALAÇÃO DE TRELIÇA TB9, PARA SUPORTE DE BARRAS DE TRANSFERÊNCIA EM JUNTAS, OU SIMILAR</t>
  </si>
  <si>
    <t>02.02.06.09</t>
  </si>
  <si>
    <t>FORNECIMENTO E INSTALAÇÃO DE TRELIÇA TB14, PARA SUPORTE DE TELA</t>
  </si>
  <si>
    <t>02.02.06.10</t>
  </si>
  <si>
    <t>BARRAS DE TRANSFERÊNCIA, AÇO CA-25 DE 25,0 MM, PARA EXECUÇÃO DE PAVIMENTO DE CONCRETO  FORNECIMENTO E INSTALAÇÃO. AF_04/2022</t>
  </si>
  <si>
    <t>02.02.07</t>
  </si>
  <si>
    <t>PISOS ACABAMENTOS INTERNOS</t>
  </si>
  <si>
    <t>02.02.07.01</t>
  </si>
  <si>
    <t>ARGAMASSA DE REGULARIZAÇÃO E/OU PROTEÇÃO</t>
  </si>
  <si>
    <t>02.02.07.02</t>
  </si>
  <si>
    <t>PISO MONOLÍTICO DE ALTA RESISTÊNCIA, REF:. FERCODUR-COR ACABAMENTO TIPO FULGET LAVADO, FERCOBAN OU SIMILAR</t>
  </si>
  <si>
    <t>02.02.07.03</t>
  </si>
  <si>
    <t>PISO CIMENTADO, TRAÇO 1:3 (CIMENTO E AREIA), ACABAMENTO LISO, ESPESSURA 4,0 CM, PREPARO MECÂNICO DA ARGAMASSA. AF_09/2020</t>
  </si>
  <si>
    <t>02.02.07.04</t>
  </si>
  <si>
    <t>REVESTIMENTO CERÂMICO PARA PISO COM PLACAS TIPO PORCELANATO DE DIMENSÕES 60X60 CM APLICADA EM AMBIENTES DE ÁREA ENTRE 5 M² E 10 M². AF_06/2014</t>
  </si>
  <si>
    <t>02.02.07.05</t>
  </si>
  <si>
    <t>SOLEIRA EM PERFIL INOX QUADRADO COR PRATA ACAB. ESCOVADO H=10MM, HDL OU SIMILAR</t>
  </si>
  <si>
    <t>02.02.07.06</t>
  </si>
  <si>
    <t>RODAPÉ QUALQUER EM ALTA RESISTÊNCIA MOLDADO NO LOCAL ATÉ 10 CM</t>
  </si>
  <si>
    <t>02.02.07.07</t>
  </si>
  <si>
    <t>RODAPÉ DE POLIESTIRENO, ESPESSURA DE 8 CM</t>
  </si>
  <si>
    <t>02.02.07.08</t>
  </si>
  <si>
    <t>RODAPÉ EM PRÉ-MOLDADO H=10CM</t>
  </si>
  <si>
    <t>02.02.07.09</t>
  </si>
  <si>
    <t>RODAPÉ EM PRÉ-MOLDADO H=30CM</t>
  </si>
  <si>
    <t>02.02.07.10</t>
  </si>
  <si>
    <t>RODAPÉ EM PORCELANATO ESMALTADO POLIDO PARA ÁREA INTERNA E AMBIENTE COM TRÁFEGO MÉDIO, GRUPO DE ABSORÇÃO BIA, ASSENTADO COM ARGAMASSA COLANTE INDUSTRIALIZADA, REJUNTADO</t>
  </si>
  <si>
    <t>02.02.08</t>
  </si>
  <si>
    <t>PISOS ACABAMENTOS EXTERNOS</t>
  </si>
  <si>
    <t>02.02.08.01</t>
  </si>
  <si>
    <t>EXECUÇÃO DE PASSEIO EM PISO INTERTRAVADO, COM BLOCO RETANGULAR COLORIDO DE 20 X 10 CM, ESPESSURA 6 CM. AF_12/2015</t>
  </si>
  <si>
    <t>02.02.09</t>
  </si>
  <si>
    <t>IMPERMEABILIZAÇÃO</t>
  </si>
  <si>
    <t>02.02.09.01</t>
  </si>
  <si>
    <t>02.02.09.02</t>
  </si>
  <si>
    <t>IMPERMEABILIZAÇÃO EM MANTA ASFÁLTICA PLASTOMÉRICA COM ARMADURA, TIPO III, ESPESSURA DE 4 MM, FACE EXPOSTA EM GEOTÊXTIL COM MEMBRANA ACRÍLICA</t>
  </si>
  <si>
    <t>02.02.09.03</t>
  </si>
  <si>
    <t>IMPERMEABILIZAÇÃO EM MEMBRANA DE ASFALTO MODIFICADO COM ELASTÔMEROS, NA COR PRETA E REFORÇO EM TELA POLIÉSTER</t>
  </si>
  <si>
    <t>02.02.10</t>
  </si>
  <si>
    <t>FORROS</t>
  </si>
  <si>
    <t>02.02.10.01</t>
  </si>
  <si>
    <t>FORRO EM FIBRA MINERAL COM PLACAS ACÚSTICAS REMOVÍVEIS DE 625MM X 625MM</t>
  </si>
  <si>
    <t>02.02.10.02</t>
  </si>
  <si>
    <t>FORRO EM PAINÉIS DE GESSO ACARTONADO, ESPESSURA DE 12,5 MM, FIXO</t>
  </si>
  <si>
    <t>02.02.10.03</t>
  </si>
  <si>
    <t>TABICA METÁLICA 3X3CM PARA FORRO DE GESSO (FORNECIMENTO E MONTAGEM)</t>
  </si>
  <si>
    <t>02.02.11</t>
  </si>
  <si>
    <t>COBERTURAS E FECHAMENTOS</t>
  </si>
  <si>
    <t>02.02.11.01</t>
  </si>
  <si>
    <t>COBERTURA ROLL-ON</t>
  </si>
  <si>
    <t>02.02.11.01.01</t>
  </si>
  <si>
    <t>SISTEMA DE COBERTURA ROLL-ON, COMPOSTO POR MÓDULOS ESTRUTURAIS GALVANIZADOS E CHAPAS ELASTICAMENTE CONTIDAS (CEC), E=0,65MM, GALVANIZADAS B, PINTADAS EM UMA FACE, VIGAS METÁLICAS, TRATADAS E PINTADAS.CALHAS EM CHAPA GALV.B, E=0,65MM, PINTADA UMA FACE NA COR BRANCO. ILUMINAÇÃO ZENITAL FORMADA POR BOBINAS, TIPO CEC, EM FIBRA DE VIDRO, E=2MM, NA COR BRANCO LEITOSO, COM FAIXA OPACA CENTRAL VENTILADOR NATURAL, PADRÃO PARA O SISTEMA ROLL-ON, EM CHAPAS DE AÇO GALVANIZADO B, COM TELHAS GALVANIZADAS TRAPÉZIO 40 E=0,50MM</t>
  </si>
  <si>
    <t>02.02.11.01.02</t>
  </si>
  <si>
    <t>FECHAMENTO LATERAL EM PAINEIS TERMILOR WALL, CONFORME PROJETO B-027 DE 18/08/21</t>
  </si>
  <si>
    <t>02.02.11.02</t>
  </si>
  <si>
    <t>ROLL-ON, VU, CALHA, PASSARELA, ESTRUTURA DE FECHAMENTO</t>
  </si>
  <si>
    <t>02.02.11.02.03</t>
  </si>
  <si>
    <t>ROLL-ON RO 150 KS</t>
  </si>
  <si>
    <t>02.02.11.02.04</t>
  </si>
  <si>
    <t>ROLL-ON RO 150 SS</t>
  </si>
  <si>
    <t>02.02.11.02.05</t>
  </si>
  <si>
    <t>CALHA INTERNA MK</t>
  </si>
  <si>
    <t>02.02.11.02.06</t>
  </si>
  <si>
    <t>TYLON MK 1.4 - ILUMINAÇÃO</t>
  </si>
  <si>
    <t>02.02.11.02.07</t>
  </si>
  <si>
    <t>TYLON MK 1.4 - VENTILADOR</t>
  </si>
  <si>
    <t>02.02.11.02.08</t>
  </si>
  <si>
    <t>ESTRUTURA ILUM. ZENITAL</t>
  </si>
  <si>
    <t>02.02.11.02.09</t>
  </si>
  <si>
    <t>ESTR. VENT. NATURAL C/ TYLON</t>
  </si>
  <si>
    <t>02.02.11.02.10</t>
  </si>
  <si>
    <t>VU 90 S</t>
  </si>
  <si>
    <t>02.02.11.02.11</t>
  </si>
  <si>
    <t>TRELIÇA CONTENÇÃO LATERAL</t>
  </si>
  <si>
    <t>02.02.11.02.12</t>
  </si>
  <si>
    <t>ESTRUTURA AUXILIAR DE FECH.</t>
  </si>
  <si>
    <t>02.02.11.02.13</t>
  </si>
  <si>
    <t>PASSARELA PADRÃO ROLL-ON</t>
  </si>
  <si>
    <t>02.02.11.02.14</t>
  </si>
  <si>
    <t>ESTRUTURA DE LINHA DE VIDA</t>
  </si>
  <si>
    <t>02.02.11.02.15</t>
  </si>
  <si>
    <t>FRETE (MATERIAL MARKO)</t>
  </si>
  <si>
    <t>02.02.11.02.16</t>
  </si>
  <si>
    <t>ILUM. - POLICARB. PRISMÁTICO</t>
  </si>
  <si>
    <t>02.02.12</t>
  </si>
  <si>
    <t>LOUÇAS E METAIS</t>
  </si>
  <si>
    <t>02.02.12.01</t>
  </si>
  <si>
    <t>VASO SANITÁRIO SIFONADO COM CAIXA ACOPLADA LOUÇA BRANCA - PADRÃO MÉDIO, INCLUSO ENGATE FLEXÍVEL EM METAL CROMADO, 1/2 X 40CM - FORNECIMENTO E INSTALAÇÃO. AF_01/2020</t>
  </si>
  <si>
    <t>02.02.12.02</t>
  </si>
  <si>
    <t>ASSENTO SANITARIO COM ABERTURA FRONTAL PARA BACIA VOGUE PLUS</t>
  </si>
  <si>
    <t>02.02.12.03</t>
  </si>
  <si>
    <t>LAVATORIO SUSPENSO LOUCA BRANCA LINHA IZY L-15.17 - DECA</t>
  </si>
  <si>
    <t>02.02.12.04</t>
  </si>
  <si>
    <t>CUBA DE EMBUTIR QUADRADA (DECA LINHA REF L701 - GE17 - 41CM) P/ INSTALAÇÃO EM BANCADAS, C/ SIFÃO CROMADO (DECA REF C1680) , VÁLVULA CROMADA (DECA C1602) E ENGATE CROMADO (DECA) OU SIMILARES</t>
  </si>
  <si>
    <t>02.02.12.05</t>
  </si>
  <si>
    <t>CUBA ACO INOX ESCOVADO RETANGULAR 50X40X20CM SQUARE 540 SINK</t>
  </si>
  <si>
    <t>02.02.13</t>
  </si>
  <si>
    <t>BANCADAS E PRATELEIRAS</t>
  </si>
  <si>
    <t>02.02.13.01</t>
  </si>
  <si>
    <t>BANCADA DE GRANITO CINZA ANDORINHA ESP. 3CM 0,90X0,60M, SAIA ESP. 2CM H=5CM, FRONTISPÍCIO ESP 2CM H =10CM COM FURAÇÃO PARA CUBA E TORNEIRA</t>
  </si>
  <si>
    <t>02.02.13.02</t>
  </si>
  <si>
    <t>BANCADA DE GRANITO CINZA ANDORINHA ESP. 3CM 0,80X0,60M, SAIA ESP. 2CM H=5CM, FRONTISPÍCIO ESP 2CM H =10CM COM FURAÇÃO PARA CUBA E TORNEIRA</t>
  </si>
  <si>
    <t>02.02.13.03</t>
  </si>
  <si>
    <t>BANCADA DE GRANITO CINZA ANDORINHA ESP. 3CM COM ÁREA MOLHADA E SECA 2,70X0,60M, SAIA ESP. 2CM H=5CM, FRONTISPÍCIO ESP 2CM H =10CM COM FURAÇÃO PARA CUBA E TORNEIRA</t>
  </si>
  <si>
    <t>02.02.14</t>
  </si>
  <si>
    <t>ACESSÓRIOS</t>
  </si>
  <si>
    <t>02.02.14.01</t>
  </si>
  <si>
    <t>DISPENSER TOALHEIRO EM ABS, PARA FOLHAS</t>
  </si>
  <si>
    <t>02.02.14.02</t>
  </si>
  <si>
    <t>DISPENSER PARA PAPEL HIGIÊNICO INTERFOLHADO REF.: 70080, MELHORAMENTOS OU SIMILAR</t>
  </si>
  <si>
    <t>02.02.14.03</t>
  </si>
  <si>
    <t>DISPENSER PARA PROTETOR DE ASSENTO REF. 70610, MELHORAMENTOS OU SIMILAR</t>
  </si>
  <si>
    <t>02.02.14.04</t>
  </si>
  <si>
    <t>DISPENSER PARA SAQUINHOS MELBAG REF.: 70780, MELHORAMENTOS OU SIMILAR</t>
  </si>
  <si>
    <t>02.02.14.05</t>
  </si>
  <si>
    <t>DISPENSER PARA SABONETE LÍQUIDO REF. 70090, MELHORAMENTOS OU SIMILAR</t>
  </si>
  <si>
    <t>02.02.14.06</t>
  </si>
  <si>
    <t>DISPENSER PAPEL HIGIÊNICO EM ABS PARA ROLÃO 300 / 600 M, COM VISOR</t>
  </si>
  <si>
    <t>02.02.14.07</t>
  </si>
  <si>
    <t>TORNEIRA P/LAVATORIO MESA DECAMATIC 1173 CONFORTO FECH.AUTOM</t>
  </si>
  <si>
    <t>02.02.14.08</t>
  </si>
  <si>
    <t>DUCHA HIGIÊNICA CROMADA</t>
  </si>
  <si>
    <t>02.02.14.09</t>
  </si>
  <si>
    <t>BARRA DE APOIO RETA, EM ACO INOX POLIDO, COMPRIMENTO 80 CM, FIXADA NA PAREDE - FORNECIMENTO E INSTALAÇÃO. AF_01/2020</t>
  </si>
  <si>
    <t>02.02.14.10</t>
  </si>
  <si>
    <t>BARRA DE APOIO LATERAL PARA LAVATÓRIO, PARA PESSOAS COM MOBILIDADE REDUZIDA, EM TUBO DE AÇO INOXIDÁVEL DE 1.1/4", COMPRIMENTO 25 A 30 CM</t>
  </si>
  <si>
    <t>02.02.14.11</t>
  </si>
  <si>
    <t>BARRA DE APOIO LATERAL ARTICULADA, COM TRAVA, EM ACO INOX POLIDO, FIXADA NA PAREDE - FORNECIMENTO E INSTALAÇÃO. AF_01/2020</t>
  </si>
  <si>
    <t>02.02.14.12</t>
  </si>
  <si>
    <t>CHUVEIRO ELETRICO/ DUCHA FASHION BRANCA - LORENZETTI</t>
  </si>
  <si>
    <t>02.02.14.13</t>
  </si>
  <si>
    <t>VÁLVULA EM METAL CROMADO 1.1/2 X 1.1/2 PARA TANQUE OU LAVATÓRIO, COM OU SEM LADRÃO - FORNECIMENTO E INSTALAÇÃO. AF_01/2020</t>
  </si>
  <si>
    <t>02.02.14.14</t>
  </si>
  <si>
    <t>REGISTRO DE PRESSÃO BRUTO, LATÃO, ROSCÁVEL, 3/4", COM ACABAMENTO E CANOPLA CROMADOS - FORNECIMENTO E INSTALAÇÃO. AF_08/2021</t>
  </si>
  <si>
    <t>02.02.14.15</t>
  </si>
  <si>
    <t>REGISTRO DE GAVETA BRUTO, LATÃO, ROSCÁVEL, 3/4", COM ACABAMENTO E CANOPLA CROMADOS - FORNECIMENTO E INSTALAÇÃO. AF_08/2021</t>
  </si>
  <si>
    <t>02.02.14.16</t>
  </si>
  <si>
    <t>CABIDE EM AÇO INOX, DECA 2060 C40, ACABAMENTO CROMADO OU SIMILAR</t>
  </si>
  <si>
    <t>02.02.14.17</t>
  </si>
  <si>
    <t>ESPELHO DE CRISTAL 4MM, COM MOLDURA DE ALUMÍNIO, ACABAMENTO EM LAMINADO, DIM. 50 X 70CM</t>
  </si>
  <si>
    <t>02.02.14.18</t>
  </si>
  <si>
    <t>ESPELHO CRISTAL 4MM COM MOLDURA DE ALUMINIO</t>
  </si>
  <si>
    <t>02.02.14.19</t>
  </si>
  <si>
    <t>SIFÃO DE METAL CROMADO DE 1´ X 1 1/2´</t>
  </si>
  <si>
    <t>02.02.14.20</t>
  </si>
  <si>
    <t>SIFÃO DE METAL CROMADO DE 1 1/2´ X 2´</t>
  </si>
  <si>
    <t>02.02.14.21</t>
  </si>
  <si>
    <t>TORNEIRA CROMADA DE MESA PARA LAVATÓRIO COM SENSOR DE PRESENCA. AF_01/2020</t>
  </si>
  <si>
    <t>02.02.14.22</t>
  </si>
  <si>
    <t>TORNEIRA CROMADA 1/2 OU 3/4 PARA TANQUE, PADRÃO MÉDIO - FORNECIMENTO E INSTALAÇÃO. AF_01/2020</t>
  </si>
  <si>
    <t>02.02.15</t>
  </si>
  <si>
    <t>ESQUADRIAS</t>
  </si>
  <si>
    <t>02.02.15.01</t>
  </si>
  <si>
    <t>MADEIRA</t>
  </si>
  <si>
    <t>02.02.15.01.01</t>
  </si>
  <si>
    <t>PM01 - PORTA SIMPLES DE ABRIR EM MADEIRA COM REVESTIMENTO MELAMÍNICO NA COR BRANCA - 0,70X 2,07M</t>
  </si>
  <si>
    <t>02.02.15.01.02</t>
  </si>
  <si>
    <t>PM02 - PORTA SIMPLES DE ABRIR EM MADEIRA COM REVESTIMENTO MELAMÍNICO NA COR BRANCA - 0,80X 2,10M</t>
  </si>
  <si>
    <t>02.02.15.01.03</t>
  </si>
  <si>
    <t>PM03 - PORTA SIMPLES DE ABRIR EM MADEIRA PARA PCD COM BARRA DE APOIO E CHAPA DE PROTEÇÃO - 0,90X 2,10M</t>
  </si>
  <si>
    <t>02.02.15.01.04</t>
  </si>
  <si>
    <t>PM04 - PORTA SIMPLES DE ABRIR EM MADEIRA COM REVESTIMENTO MELAMÍNICO NA COR BRANCA - 0,90X 2,10M</t>
  </si>
  <si>
    <t>02.02.15.01.05</t>
  </si>
  <si>
    <t>PM05 - PORTA SIMPLES DE ABRIR EM MADEIRA COM REVESTIMENTO MELAMÍNICO NA COR BRANCA COM VISOR - 0,90X 2,10M</t>
  </si>
  <si>
    <t>02.02.15.01.06</t>
  </si>
  <si>
    <t>PM06 - PORTA DUPLA DESIGUAL (0,90+0,40M) DE ABRIR EM MADEIRA MACIÇA COM REVESTIMENTO MELAMÍNICO NA COR BRANCA, COM VISOR (VIDRO 6MM 0,50X0,50CM) E CHAPA DE PROTEÇÃO EM AÇO INOX LARGURA DA PORTA E H=0,40M - 1,30X 2,10M</t>
  </si>
  <si>
    <t>02.02.15.01.07</t>
  </si>
  <si>
    <t>PM08 - PORTA SIMPLES ABRIR EM MADEIRA COM REVESTIMENTO EM LAMINADO MELAMÍNICO PARA DIVISÓRIA DE VIDRO - 0,80X 2,10M</t>
  </si>
  <si>
    <t>02.02.15.01.08</t>
  </si>
  <si>
    <t>CONJUNTO 6236 PARA BANHEIRO, ACABAMENTO CROMADO LA FONTE</t>
  </si>
  <si>
    <t>02.02.15.01.09</t>
  </si>
  <si>
    <t>DOBRADIÇAS COM ROLAMENTO REF. 80 4X3 - LA FONTE</t>
  </si>
  <si>
    <t>02.02.15.01.10</t>
  </si>
  <si>
    <t>MOLA HIDRÁULICA REF. TS-72 - DORMA</t>
  </si>
  <si>
    <t>02.02.15.01.11</t>
  </si>
  <si>
    <t>FECHO, 40CM X 3/4", ACABAMENTO CR (CROMADO), LA FONTE, REF. 400 (OU SIMILAR)</t>
  </si>
  <si>
    <t>02.02.15.01.12</t>
  </si>
  <si>
    <t>FECHO, 20CM X 3/4", ACABAMENTO CR (CROMADO), LA FONTE, REF. 400 (OU SIMILAR)</t>
  </si>
  <si>
    <t>02.02.15.02</t>
  </si>
  <si>
    <t>ESQUADRIAS EM ALUMÍNIO E VIDRO</t>
  </si>
  <si>
    <t>02.02.15.02.01</t>
  </si>
  <si>
    <t>JA01 - 6 MÓDULOS DE 0,60X0,70 DE JANELAS DE ALUMÍNIO LINHA 25 TIPO MAXIM-AR, COM VIDRO DE 6MM, COM CONTRAMARCO, ALIZAR, BATENTE E FERRAGENS, ACAB. PINTURA ELETROSTÁTICA COR RAL 7021 - 3,75X 0,7M</t>
  </si>
  <si>
    <t>02.02.15.02.02</t>
  </si>
  <si>
    <t>JA02 - 3 MÓDULOS DE 0,60X0,70 DE JANELAS DE ALUMÍNIO LINHA 25 TIPO MAXIM-AR, COM VIDRO DE 6MM, COM CONTRAMARCO, ALIZAR, BATENTE E FERRAGENS, ACAB. PINTURA ELETROSTÁTICA COR RAL 7021 - 1,86X 0,7M</t>
  </si>
  <si>
    <t>02.02.15.02.03</t>
  </si>
  <si>
    <t>JA03 - 7 MÓDULOS DE 0,60X0,70 DE JANELAS DE ALUMÍNIO LINHA 25 TIPO MAXIM-AR, COM VIDRO DE 6MM, COM CONTRAMARCO, ALIZAR, BATENTE E FERRAGENS, ACAB. PINTURA ELETROSTÁTICA COR RAL 7021 - 4,4X 0,7M</t>
  </si>
  <si>
    <t>02.02.15.02.04</t>
  </si>
  <si>
    <t>JA04 - 2 MÓDULOS DE 0,60X0,70 DE JANELAS DE ALUMÍNIO LINHA 25 TIPO MAXIM-AR, COM VIDRO DE 6MM, COM CONTRAMARCO, ALIZAR, BATENTE E FERRAGENS, ACAB. PINTURA ELETROSTÁTICA COR RAL 7021 - 1,25X 0,7M</t>
  </si>
  <si>
    <t>02.02.15.02.05</t>
  </si>
  <si>
    <t>JA05 - 5 MÓDULOS DE 0,60X0,70 DE JANELAS DE ALUMÍNIO LINHA 25 TIPO MAXIM-AR, COM VIDRO DE 6MM, COM CONTRAMARCO, ALIZAR, BATENTE E FERRAGENS, ACAB. PINTURA ELETROSTÁTICA COR RAL 7021 - 2,9X 0,7M</t>
  </si>
  <si>
    <t>02.02.15.02.06</t>
  </si>
  <si>
    <t>JA06 - 7 MÓDULOS DE 0,60X0,70 DE JANELAS DE ALUMÍNIO LINHA 25 TIPO MAXIM-AR, COM VIDRO DE 6MM, COM CONTRAMARCO, ALIZAR, BATENTE E FERRAGENS, ACAB. PINTURA ELETROSTÁTICA COR RAL 7021 - 4,2X 0,7M</t>
  </si>
  <si>
    <t>02.02.15.02.07</t>
  </si>
  <si>
    <t>JA07 - 6 MÓDULOS DE 0,70X1,24 DE JANELAS DE ALUMÍNIO LINHA 25 TIPO MAXIM-AR, COM VIDRO DE 6MM, COM CONTRAMARCO, ALIZAR, BATENTE E FERRAGENS, ACAB. PINTURA ELETROSTÁTICA COR RAL 7021 - 4,2X 1,24M</t>
  </si>
  <si>
    <t>02.02.15.02.08</t>
  </si>
  <si>
    <t>JA08 - JANELA DE ALUMÍNIO LINHA 25 TIPO FIXA, COM VIDRO DE 6MM, COM MARCO, CONTRAMARCO, ALIZAR E FERRAGENS, ACAB. PINTURA ELETROSTÁTICA COR RAL 7021 - 0,7X 1,24M</t>
  </si>
  <si>
    <t>02.02.15.02.09</t>
  </si>
  <si>
    <t>JA09 - 5 MÓDULOS DE 0,70X1,24 DE JANELAS DE ALUMÍNIO LINHA 25 TIPO MAXIM-AR, COM VIDRO DE 6MM, COM CONTRAMARCO, ALIZAR, BATENTE E FERRAGENS, ACAB. PINTURA ELETROSTÁTICA COR RAL 7021 - 3,5X 1,24M</t>
  </si>
  <si>
    <t>02.02.15.02.10</t>
  </si>
  <si>
    <t>JA10 - 1 MÓDULO DE 0,80X1,24 DE JANELAS DE ALUMÍNIO LINHA 25 TIPO MAXIM-AR, COM VIDRO DE 6MM, COM CONTRAMARCO, ALIZAR, BATENTE E FERRAGENS, ACAB. PINTURA ELETROSTÁTICA COR RAL 7021 - 0,8X 1,24M</t>
  </si>
  <si>
    <t>02.02.15.02.11</t>
  </si>
  <si>
    <t>JA11 - 2 MÓDULOS DE 0,80X1,24 DE JANELAS DE ALUMÍNIO LINHA 25 TIPO MAXIM-AR, COM VIDRO DE 6MM, COM CONTRAMARCO, ALIZAR, BATENTE E FERRAGENS, ACAB. PINTURA ELETROSTÁTICA COR RAL 7021 - 1,6X 1,24M</t>
  </si>
  <si>
    <t>02.02.15.03</t>
  </si>
  <si>
    <t>02.02.15.03.01</t>
  </si>
  <si>
    <t>PA01 - PORTA SIMPLES DE ABRIR DE VENEZIANA EM ALUMÍNIO COM PINTURA ELETROSTÁTICA COR RAL 7021 - 0,9X 2,1M</t>
  </si>
  <si>
    <t>02.02.15.03.02</t>
  </si>
  <si>
    <t>PA02 - PORTA DUPLA DE ABRIR DE VENEZIANA DE ALUMÍNIO COM PINTURA ELETROSTÁTICA COR RAL 7021 - 1,74X 2,07M</t>
  </si>
  <si>
    <t>02.02.15.03.03</t>
  </si>
  <si>
    <t>PA03 - PORTA DUPLA DE ABRIR DE VENEZIANA DE ALUMÍNIO COM PINTURA ELETROSTÁTICA COR RAL 7021 - 1,14X 2,37M</t>
  </si>
  <si>
    <t>02.02.15.04</t>
  </si>
  <si>
    <t>PAINEIS DE VIDRO TEMPERADO COM PERFIL"U"</t>
  </si>
  <si>
    <t>02.02.15.04.01</t>
  </si>
  <si>
    <t>PV01 - PAINEL DE VIDRO TEMPERADO 8MM COM JUNTA SECA, PERFIL DE ALUMÍNIO PINTURA ELETROSTÁTICA - 3,55X 2,6M</t>
  </si>
  <si>
    <t>02.02.15.04.02</t>
  </si>
  <si>
    <t>PV02 - PAINEL DE VIDRO TEMPERADO 8MM COM JUNTA SECA, PERFIL DE ALUMÍNIO PINTURA ELETROSTÁTICA - 5,05X 2,6M</t>
  </si>
  <si>
    <t>02.02.15.04.03</t>
  </si>
  <si>
    <t>PV03 - PAINEL DE VIDRO TEMPERADO 8MM COM JUNTA SECA, PERFIL DE ALUMÍNIO PINTURA ELETROSTÁTICA - 3,45X 2,48M</t>
  </si>
  <si>
    <t>02.02.15.04.04</t>
  </si>
  <si>
    <t>PV04 - PAINEL DE VIDRO TEMPERADO 8MM COM JUNTA SECA, PERFIL DE ALUMÍNIO PINTURA ELETROSTÁTICA - 4,74X 2,48M</t>
  </si>
  <si>
    <t>02.02.15.04.05</t>
  </si>
  <si>
    <t>PV05 - PAINEL DE VIDRO TEMPERADO 8MM COM JUNTA SECA, PERFIL DE ALUMÍNIO PINTURA ELETROSTÁTICA - 2,19X 2,48M</t>
  </si>
  <si>
    <t>02.02.15.04.06</t>
  </si>
  <si>
    <t>PV06 - PAINEL DE VIDRO TEMPERADO 8MM COM JUNTA SECA, PERFIL DE ALUMÍNIO PINTURA ELETROSTÁTICA - 4,64X 2,48M</t>
  </si>
  <si>
    <t>02.02.15.05</t>
  </si>
  <si>
    <t>PAINEÍS ESPECIAIS EM AÇO INOX</t>
  </si>
  <si>
    <t>02.02.15.05.01</t>
  </si>
  <si>
    <t>CP01 - PAINEL COM CHAPA PERFURADA EM INOX 304 - FURAÇÃO REDONDA Ø22,2MM COM DISPOSIÇÃO ALTERNADA LONGITUDINAL COM ESTRUTURA AUXILIAR - 1,74X 5,3M</t>
  </si>
  <si>
    <t>02.02.15.05.02</t>
  </si>
  <si>
    <t>- PAINEL COM CHAPA PERFURADA EM INOX 304 - FURAÇÃO REDONDA Ø22,2MM COM DISPOSIÇÃO ALTERNADA LONGITUDINAL COM ESTRUTURA AUXILIAR - 2,33X 5,3M</t>
  </si>
  <si>
    <t>02.02.15.05.03</t>
  </si>
  <si>
    <t>- PAINEL COM CHAPA PERFURADA EM INOX 304 - FURAÇÃO REDONDA Ø22,2MM COM DISPOSIÇÃO ALTERNADA LONGITUDINAL COM ESTRUTURA AUXILIAR - 1,21X 5,3/ 4,5M</t>
  </si>
  <si>
    <t>02.02.15.05.04</t>
  </si>
  <si>
    <t>- PAINEL COM CHAPA PERFURADA EM INOX 304 - FURAÇÃO REDONDA Ø22,2MM COM DISPOSIÇÃO ALTERNADA LONGITUDINAL COM ESTRUTURA AUXILIAR - 21,23X 4,5M</t>
  </si>
  <si>
    <t>02.02.15.05.05</t>
  </si>
  <si>
    <t>CP02 - PAINEL COM CHAPA PERFURADA EM INOX 304 - FURAÇÃO REDONDA Ø22,2MM COM DISPOSIÇÃO ALTERNADA LONGITUDINAL COM ESTRUTURA AUXILIAR - 6,87X 4,5M</t>
  </si>
  <si>
    <t>02.02.15.05.06</t>
  </si>
  <si>
    <t>- PAINEL COM CHAPA PERFURADA EM INOX 304 - FURAÇÃO REDONDA Ø22,2MM COM DISPOSIÇÃO ALTERNADA LONGITUDINAL COM ESTRUTURA AUXILIAR - 14,4X 4,5/ 5,70M</t>
  </si>
  <si>
    <t>02.02.15.05.07</t>
  </si>
  <si>
    <t>- PAINEL COM CHAPA PERFURADA EM INOX 304 - FURAÇÃO REDONDA Ø22,2MM COM DISPOSIÇÃO ALTERNADA LONGITUDINAL COM ESTRUTURA AUXILIAR - 2,8X 5,70/ 5,50M</t>
  </si>
  <si>
    <t>02.02.15.05.08</t>
  </si>
  <si>
    <t>- PAINEL COM CHAPA PERFURADA EM INOX 304 - FURAÇÃO REDONDA Ø22,2MM COM DISPOSIÇÃO ALTERNADA LONGITUDINAL COM ESTRUTURA AUXILIAR + PORTA DE MESMO MATERIAL (0,90X2,40) - 6X 5,5M</t>
  </si>
  <si>
    <t>02.02.15.05.09</t>
  </si>
  <si>
    <t>CP03 - PAINEL COM CHAPA PERFURADA EM INOX 304 - FURAÇÃO REDONDA Ø22,2MM COM DISPOSIÇÃO ALTERNADA LONGITUDINAL COM ESTRUTURA AUXILIAR - 0,39X 4,5M</t>
  </si>
  <si>
    <t>02.02.15.05.10</t>
  </si>
  <si>
    <t>- PAINEL COM CHAPA PERFURADA EM INOX 304 - FURAÇÃO REDONDA Ø22,2MM COM DISPOSIÇÃO ALTERNADA LONGITUDINAL COM ESTRUTURA AUXILIAR - 4,81X 4,5M</t>
  </si>
  <si>
    <t>02.02.15.05.11</t>
  </si>
  <si>
    <t>CP04 - PAINEL COM CHAPA PERFURADA EM INOX 304 - FURAÇÃO REDONDA Ø22,2MM COM DISPOSIÇÃO ALTERNADA LONGITUDINAL COM ESTRUTURA AUXILIAR - 8,35X 4,5M</t>
  </si>
  <si>
    <t>02.02.15.05.12</t>
  </si>
  <si>
    <t>CP05 - PAINEL COM CHAPA PERFURADA EM INOX 304 - FURAÇÃO REDONDA Ø22,2MM COM DISPOSIÇÃO ALTERNADA LONGITUDINAL COM ESTRUTURA AUXILIAR COM ABERTURAS PARA ESQUADRIAS PV03/ PV04/ PV05/ PV06 - 23,35X 4,5M</t>
  </si>
  <si>
    <t>02.02.15.05.13</t>
  </si>
  <si>
    <t>CP06 - PAINEL COM CHAPA PERFURADA EM INOX 304 - FURAÇÃO REDONDA Ø22,2MM COM DISPOSIÇÃO ALTERNADA LONGITUDINAL COM ESTRUTURA AUXILIAR - 5,47X 3,35M</t>
  </si>
  <si>
    <t>02.02.15.05.14</t>
  </si>
  <si>
    <t>- PAINEL COM CHAPA PERFURADA EM INOX 304 - FURAÇÃO REDONDA Ø22,2MM COM DISPOSIÇÃO ALTERNADA LONGITUDINAL COM ESTRUTURA AUXILIAR COM ABERTURAS PARA ESQUADRIA JA09 - 5,02X 3,35M</t>
  </si>
  <si>
    <t>02.02.15.05.15</t>
  </si>
  <si>
    <t>- PAINEL COM CHAPA PERFURADA EM INOX 304 - FURAÇÃO REDONDA Ø22,2MM COM DISPOSIÇÃO ALTERNADA LONGITUDINAL COM ESTRUTURA AUXILIAR - 0,7X 3,35M</t>
  </si>
  <si>
    <t>02.02.15.05.16</t>
  </si>
  <si>
    <t>CP07 - PAINEL COM CHAPA PERFURADA EM INOX 304 - FURAÇÃO REDONDA Ø22,2MM COM DISPOSIÇÃO ALTERNADA LONGITUDINAL COM ESTRUTURA AUXILIAR - 0,7X 3,35M</t>
  </si>
  <si>
    <t>02.02.15.05.17</t>
  </si>
  <si>
    <t>- PAINEL COM CHAPA PERFURADA EM INOX 304 - FURAÇÃO REDONDA Ø22,2MM COM DISPOSIÇÃO ALTERNADA LONGITUDINAL COM ESTRUTURA AUXILIAR COM ABERTURAS PARA ESQUADRIA JA09/ J10 - 13,5X 3,35M</t>
  </si>
  <si>
    <t>02.02.15.05.18</t>
  </si>
  <si>
    <t>- PAINEL COM CHAPA PERFURADA EM INOX 304 - FURAÇÃO REDONDA Ø22,2MM COM DISPOSIÇÃO ALTERNADA LONGITUDINAL COM ESTRUTURA AUXILIAR - 1,8X 3,35M</t>
  </si>
  <si>
    <t>02.02.15.06</t>
  </si>
  <si>
    <t>PAINEÍS REFAX</t>
  </si>
  <si>
    <t>02.02.15.06.01</t>
  </si>
  <si>
    <t>BRS01 - PAINEL DE SISTEMA LINEAR RB FIXADO SOBRE PORTA PAINEL RB AUTOTRAVE TODO EM ALUMÍNIO, COR RAL 7021 - 0,685X 2,96M</t>
  </si>
  <si>
    <t>02.02.15.06.02</t>
  </si>
  <si>
    <t>BRS02 - PAINEL DE SISTEMA LINEAR RB FIXADO SOBRE PORTA PAINEL RB AUTOTRAVE TODO EM ALUMÍNIO, COR RAL 7021 - 0,885X 2,96M</t>
  </si>
  <si>
    <t>02.02.15.06.03</t>
  </si>
  <si>
    <t>BRS03 - PAINEL DE SISTEMA LINEAR RB FIXADO SOBRE PORTA PAINEL RB AUTOTRAVE TODO EM ALUMÍNIO, COR RAL 7021 - 5,405X 2,96M</t>
  </si>
  <si>
    <t>02.02.15.06.04</t>
  </si>
  <si>
    <t>BRS04 - PAINEL DE SISTEMA LINEAR RB FIXADO SOBRE PORTA PAINEL RB AUTOTRAVE TODO EM ALUMÍNIO, COR RAL 7021 - 10,905X 2,96M</t>
  </si>
  <si>
    <t>02.02.15.06.05</t>
  </si>
  <si>
    <t>BRS05 - PAINEL DE SISTEMA LINEAR RB FIXADO SOBRE PORTA PAINEL RB AUTOTRAVE TODO EM ALUMÍNIO, COR RAL 7021 - 1,89X 2,96M</t>
  </si>
  <si>
    <t>02.02.15.06.06</t>
  </si>
  <si>
    <t>BRS06 - PAINEL DE SISTEMA LINEAR RB FIXADO SOBRE PORTA PAINEL RB AUTOTRAVE TODO EM ALUMÍNIO, COR RAL 7021 - 21,22X 2,96M</t>
  </si>
  <si>
    <t>02.02.15.06.07</t>
  </si>
  <si>
    <t>BRS07 - PAINEL DE SISTEMA LINEAR RB FIXADO SOBRE PORTA PAINEL RB AUTOTRAVE TODO EM ALUMÍNIO, COR RAL 7021 - 4,845X 2,96M</t>
  </si>
  <si>
    <t>02.02.16</t>
  </si>
  <si>
    <t>ESQUADRIAS DE FERRO</t>
  </si>
  <si>
    <t>02.02.16.01</t>
  </si>
  <si>
    <t>PORTA CORTA FOGO, 0,90 X 2,10, DE ABRIR, EM CHAPA DE AÇO GALVANIZADO Nº24, BATENTE EM CHAPA Nº18, CLASSE 90, ISOLANTE EM MANTA CERÂMICA INCOMBUSTÍVEL E=5CM, DOBRADIÇAS TIPO HELICOIDAL EM AÇO 1010/1020, E FECHADURA REVERSÍVEL SEM CHAVE</t>
  </si>
  <si>
    <t>02.02.16.02</t>
  </si>
  <si>
    <t>PORTA CORTA FOGO, 1,50 X 2,10, DE ABRIR, 02 FOLHA, EM CHAPA DE AÇO GALVANIZADO Nº24, BATENTE EM CHAPA Nº18, CLASSE 90, ISOLANTE EM MANTA CERÂMICA INCOMBUSTÍVEL E=5CM, DOBRADIÇAS TIPO HELICOIDAL EM AÇO 1010/1020, E FECHADURA REVERSÍVEL SEM CHAVE</t>
  </si>
  <si>
    <t>02.02.16.03</t>
  </si>
  <si>
    <t>PC02 - PORTA DE ABRIR EM CHAPA CHAPA PERFURADA EM INOX 304 - FURAÇÃO REDONDA Ø22,2MM COM DISPOSIÇÃO ALTERNADA LONGITUDINAL - 0,86X 2,44M</t>
  </si>
  <si>
    <t>02.02.16.04</t>
  </si>
  <si>
    <t>PORTA(S) DE ENROLAR PARA ACIONAMENTO ELÉTRICO ATRAVÉS DE ACIONADOR PROPRIO PARA ESTE TIPO DE PORTA, TENDO: FREIO ELÉTROMAGNÉTICO A DISCO, ACIONAMENTO MANUAL DE EMERGENCIA FEITO COM CORRENTE DE ELOS,PARA O CASO DE FALTA DE ENERGIA,COMANDO MAGNÉTICO COM CONTATORES ELÉTRICOS,MOTOR BLINDADO PARA 220/380 VOLTS MONOFÁSICO, EIXO ENROLADOR FEITO COM TUBO COM CUSTURA DE DIAMETRO DETERMINDADO PELA LARGURA DA PORTA E GUIAS CORREDIÇAS FEITAS COM PERFIL "U" DE CHAPA DOBRADA COM PROFUNDIDADE DETERMINADA PELA LARGURA DA PORTA 2,50X2,40M</t>
  </si>
  <si>
    <t>02.02.16.05</t>
  </si>
  <si>
    <t>PORTA/PORTÃO TIPO GRADIL SOB MEDIDA</t>
  </si>
  <si>
    <t>02.02.16.06</t>
  </si>
  <si>
    <t>CORRIMÃO DUPLO EM TUBO DE AÇO INOXIDÁVEL ESCOVADO, COM DIÂMETRO DE 1 1/2´ E MONTANTES COM DIÂMETRO DE 2´</t>
  </si>
  <si>
    <t>02.02.17</t>
  </si>
  <si>
    <t>MOBILIÁRIO</t>
  </si>
  <si>
    <t>02.02.17.01</t>
  </si>
  <si>
    <t>BANCADA LATERAL MEDINDO 2400X900X900MM</t>
  </si>
  <si>
    <t>02.02.17.02</t>
  </si>
  <si>
    <t>ARMARIO SUPERIOR MEDINDO 900X300X900MM PROVIDO DE DUAS PORTAS E TRES NIVEIS DE APOIO.</t>
  </si>
  <si>
    <t>02.02.17.03</t>
  </si>
  <si>
    <t>ARMARIO SUPERIOR MEDINDO 450X300X900MM PROVIDO DE UMA PORTA A ESQUERDA E TRES NIVEIS DE
APOIO.</t>
  </si>
  <si>
    <t>02.02.17.04</t>
  </si>
  <si>
    <t>CAPELA MODELO LS-408 MEDINDO
1500X890X2600MM</t>
  </si>
  <si>
    <t>02.02.17.05</t>
  </si>
  <si>
    <t>SISTEMA ACOPLADO DE SEGURANCA COM CHUVEIRO E LAVA OLHOS COM KIT EM ABS.</t>
  </si>
  <si>
    <t>02.02.17.06</t>
  </si>
  <si>
    <t>BANCADA LATERAL MEDINDO 6300X1000X900MM</t>
  </si>
  <si>
    <t>02.02.17.07</t>
  </si>
  <si>
    <t>ARMARIO MEDINDO 900X520X2000MM PROVIDA DE DUAS PORTAS E SEIS NIVEIS DE APOIO.</t>
  </si>
  <si>
    <t>02.02.17.08</t>
  </si>
  <si>
    <t>BANCADA LATERAL MEDINDO 4500X1000X900MM</t>
  </si>
  <si>
    <t>02.02.17.09</t>
  </si>
  <si>
    <t>02.02.17.10</t>
  </si>
  <si>
    <t>BANCADA LATERAL MEDINDO 4950X1000X900MM</t>
  </si>
  <si>
    <t>02.02.17.11</t>
  </si>
  <si>
    <t>BANCADA LATERAL MEDINDO 2000X800X900MM</t>
  </si>
  <si>
    <t>02.02.17.12</t>
  </si>
  <si>
    <t>02.02.17.13</t>
  </si>
  <si>
    <t>02.02.17.14</t>
  </si>
  <si>
    <t>02.02.17.15</t>
  </si>
  <si>
    <t>BANCADA LATERAL MEDINDO 3050X700X900MM</t>
  </si>
  <si>
    <t>02.02.17.16</t>
  </si>
  <si>
    <t>02.02.17.17</t>
  </si>
  <si>
    <t>BANCADA LATERAL MEDINDO 5500X1000X900MM</t>
  </si>
  <si>
    <t>02.02.17.18</t>
  </si>
  <si>
    <t>02.02.17.19</t>
  </si>
  <si>
    <t>02.02.17.20</t>
  </si>
  <si>
    <t>BANCADA LATERAL MEDINDO 4150X700X700MM</t>
  </si>
  <si>
    <t>02.02.17.21</t>
  </si>
  <si>
    <t>02.02.17.22</t>
  </si>
  <si>
    <t>BANCADA LATERAL MEDINDO 1540X800X900MM</t>
  </si>
  <si>
    <t>02.02.17.23</t>
  </si>
  <si>
    <t>02.02.17.24</t>
  </si>
  <si>
    <t>02.02.17.25</t>
  </si>
  <si>
    <t>02.02.17.26</t>
  </si>
  <si>
    <t>02.02.17.27</t>
  </si>
  <si>
    <t>02.02.17.28</t>
  </si>
  <si>
    <t>BANCADA LATERAL MEDINDO 2900X800X900MM</t>
  </si>
  <si>
    <t>02.02.17.29</t>
  </si>
  <si>
    <t>BANCADA LATERAL MEDINDO 2360X800X900MM</t>
  </si>
  <si>
    <t>02.03</t>
  </si>
  <si>
    <t>PAISAGISMO</t>
  </si>
  <si>
    <t>02.04</t>
  </si>
  <si>
    <t>INSTALAÇÕES ELÉTRICAS, LUMINOTÉCNICA E SPDA</t>
  </si>
  <si>
    <t>02.04.01</t>
  </si>
  <si>
    <t>LUMINÁRIAS</t>
  </si>
  <si>
    <t>02.04.01.01</t>
  </si>
  <si>
    <t>HB VAL 150W/840</t>
  </si>
  <si>
    <t>02.04.01.02</t>
  </si>
  <si>
    <t>LUMINÁRIA DE EMBUTIR GREEN SPACE DN393B</t>
  </si>
  <si>
    <t>02.04.01.03</t>
  </si>
  <si>
    <t>PANEL G3 36W 620X620 UGR 100-277V, LEDVANCE OU SIMILAR</t>
  </si>
  <si>
    <t>02.04.01.04</t>
  </si>
  <si>
    <t>SPOT BASIC EMBUTIR REF. GD221B WB /3000K, PHILIPS OU SIMILAR</t>
  </si>
  <si>
    <t>02.04.01.05</t>
  </si>
  <si>
    <t>LUMINÁRIA DE SOBREPOR HERMÉTICA REF. WT118C SMARTLED</t>
  </si>
  <si>
    <t>02.04.01.06</t>
  </si>
  <si>
    <t>02.04.01.07</t>
  </si>
  <si>
    <t>INSTALAÇÃO DE LUMINÁRIAS</t>
  </si>
  <si>
    <t>02.04.02</t>
  </si>
  <si>
    <t>INSTALAÇÕES E ILUMINAÇÃO</t>
  </si>
  <si>
    <t>02.04.02.01</t>
  </si>
  <si>
    <t>02.04.02.01.01</t>
  </si>
  <si>
    <t>CAIXA RETANGULAR 4" X 2" BAIXA (0,30 M DO PISO), PVC, INSTALADA EM PAREDE - FORNECIMENTO E INSTALAÇÃO. AF_12/2015</t>
  </si>
  <si>
    <t>02.04.02.01.02</t>
  </si>
  <si>
    <t>CAIXA RETANGULAR 4" X 4" BAIXA (0,30 M DO PISO), PVC, INSTALADA EM PAREDE - FORNECIMENTO E INSTALAÇÃO. AF_12/2015</t>
  </si>
  <si>
    <t>02.04.02.01.03</t>
  </si>
  <si>
    <t>CAIXA DE PASSAGEM COM TAMPA APARAFUSADA 20 X 20 X 10 CM</t>
  </si>
  <si>
    <t>02.04.02.01.04</t>
  </si>
  <si>
    <t>CONDULETE DE ALUMÍNIO, TIPO T, PARA ELETRODUTO DE AÇO GALVANIZADO DN 20 MM (3/4''), APARENTE - FORNECIMENTO E INSTALAÇÃO. AF_11/2016_P</t>
  </si>
  <si>
    <t>02.04.02.01.05</t>
  </si>
  <si>
    <t>CONDULETE DE ALUMÍNIO, TIPO L, PARA ELETRODUTO DE AÇO GALVANIZADO DN 20 MM (3/4''), APARENTE - FORNECIMENTO E INSTALAÇÃO. AF_11/2016_P</t>
  </si>
  <si>
    <t>02.04.02.01.06</t>
  </si>
  <si>
    <t>CONDULETE DE ALUMÍNIO, TIPO T, PARA ELETRODUTO DE AÇO GALVANIZADO DN 25 MM (1''), APARENTE - FORNECIMENTO E INSTALAÇÃO. AF_11/2016_P</t>
  </si>
  <si>
    <t>02.04.02.01.07</t>
  </si>
  <si>
    <t>CONDULETE DE ALUMÍNIO, TIPO L, PARA ELETRODUTO DE AÇO GALVANIZADO DN 25 MM (1''), APARENTE - FORNECIMENTO E INSTALAÇÃO. AF_11/2016_P</t>
  </si>
  <si>
    <t>02.04.02.01.08</t>
  </si>
  <si>
    <t>INTERRUPTOR COM 1 TECLA SIMPLES E PLACA</t>
  </si>
  <si>
    <t>02.04.02.01.09</t>
  </si>
  <si>
    <t>INTERRUPTOR COM 1 TECLA PARALELO E PLACA</t>
  </si>
  <si>
    <t>02.04.02.01.10</t>
  </si>
  <si>
    <t>TOMADA ALTA DE EMBUTIR (1 MÓDULO), 2P+T 10 A, SEM SUPORTE E SEM PLACA - FORNECIMENTO E INSTALAÇÃO. AF_12/2015</t>
  </si>
  <si>
    <t>02.04.02.01.11</t>
  </si>
  <si>
    <t>TOMADA ALTA DE EMBUTIR (1 MÓDULO), 2P+T 20 A, SEM SUPORTE E SEM PLACA - FORNECIMENTO E INSTALAÇÃO. AF_12/2015</t>
  </si>
  <si>
    <t>02.04.02.01.12</t>
  </si>
  <si>
    <t>CONDULETE TIPO ""E"" - 3/4""</t>
  </si>
  <si>
    <t>02.04.02.01.13</t>
  </si>
  <si>
    <t>CAIXA DE TOMADA EM ALUMÍNIO PARA PISO 4´ X 4´</t>
  </si>
  <si>
    <t>02.04.02.01.14</t>
  </si>
  <si>
    <t>ELETROCALHA PERFURADA GALVANIZADA A FOGO, 100 X 50 MM, COM ACESSÓRIOS</t>
  </si>
  <si>
    <t>02.04.02.01.15</t>
  </si>
  <si>
    <t>ELETROCALHA PERFURADA GALVANIZADA A FOGO, 150X100MM, COM ACESSÓRIOS</t>
  </si>
  <si>
    <t>02.04.02.01.16</t>
  </si>
  <si>
    <t>CURVA HORIZONTAL 150 X 100 MM PARA ELETROCALHA METÁLICA, COM ÂNGULO 90° (REF.: MOPA OU SIMILAR)</t>
  </si>
  <si>
    <t>02.04.02.01.17</t>
  </si>
  <si>
    <t>CURVA VERTICAL 150 X 100 MM PARA ELETROCALHA METÁLICA, COM ÂNGULO 90° (REF.: MOPA OU SIMILAR)</t>
  </si>
  <si>
    <t>02.04.02.01.18</t>
  </si>
  <si>
    <t>SAIDA HORIZONTAL PARA ELETRODUTO 3/4""</t>
  </si>
  <si>
    <t>02.04.02.01.19</t>
  </si>
  <si>
    <t>SAIDA HORIZONTAL PARA ELETRODUTO 1""</t>
  </si>
  <si>
    <t>02.04.02.01.20</t>
  </si>
  <si>
    <t>PERFILADO PERFURADO 38X38MM</t>
  </si>
  <si>
    <t>02.04.02.01.21</t>
  </si>
  <si>
    <t>SAIDA LATERAL SIMPLES PARA ELETRODUTO 3/4""</t>
  </si>
  <si>
    <t>02.04.02.01.22</t>
  </si>
  <si>
    <t>SAIDA LATERAL SIMPLES PARA ELETRODUTO 1""</t>
  </si>
  <si>
    <t>02.04.02.01.23</t>
  </si>
  <si>
    <t>SAIDA LATERAL DUPLA 3/4"</t>
  </si>
  <si>
    <t>02.04.02.01.24</t>
  </si>
  <si>
    <t>CONJUNTO PARA JUNTA INTERNA "L"</t>
  </si>
  <si>
    <t>02.04.02.01.25</t>
  </si>
  <si>
    <t>CONJUNTO PARA JUNTA RETA INTERNA I</t>
  </si>
  <si>
    <t>02.04.02.01.26</t>
  </si>
  <si>
    <t>ELETRODUTO DE AÇO GALVANIZADO, CLASSE LEVE, DN 20 MM (3/4), APARENTE, INSTALADO EM TETO - FORNECIMENTO E INSTALAÇÃO. AF_11/2016_P</t>
  </si>
  <si>
    <t>02.04.02.01.27</t>
  </si>
  <si>
    <t>ELETRODUTO DE AÇO GALVANIZADO, CLASSE LEVE, DN 25 MM (1), APARENTE, INSTALADO EM TETO - FORNECIMENTO E INSTALAÇÃO. AF_11/2016_P</t>
  </si>
  <si>
    <t>02.04.02.01.28</t>
  </si>
  <si>
    <t>CURVA 90 GRAUS, EM AÇO, CONEXÃO SOLDADA, DN 20 (3/4"), INSTALADO EM RAMAIS E SUB-RAMAIS DE GÁS - FORNECIMENTO E INSTALAÇÃO. AF_10/2020</t>
  </si>
  <si>
    <t>02.04.02.01.29</t>
  </si>
  <si>
    <t>CURVA 90 GRAUS, EM AÇO, CONEXÃO SOLDADA, DN 25 (1"), INSTALADO EM RAMAIS E SUB-RAMAIS DE GÁS - FORNECIMENTO E INSTALAÇÃO. AF_10/2020</t>
  </si>
  <si>
    <t>02.04.02.01.30</t>
  </si>
  <si>
    <t>ELETRODUTO RÍGIDO SOLDÁVEL, PVC, DN 25 MM (3/4"), APARENTE, INSTALADO EM TETO - FORNECIMENTO E INSTALAÇÃO. AF_11/2016</t>
  </si>
  <si>
    <t>02.04.02.01.31</t>
  </si>
  <si>
    <t>ELETRODUTO RÍGIDO SOLDÁVEL, PVC, DN 32 MM (1"), APARENTE, INSTALADO EM TETO - FORNECIMENTO E INSTALAÇÃO. AF_11/2016</t>
  </si>
  <si>
    <t>ILUMINAÇÃO DE EMERGÊNCIA POR BLOCOS AUTÔNOMOS</t>
  </si>
  <si>
    <t>02.04.02.02.32</t>
  </si>
  <si>
    <t>BLOCO AUTÔNOMO PARA ILUMINAÇÃO DE EMERGÊNCIA, COM LEDS DE ACLARAMENTO, FLUXO LUMINOSO CONSTANTE DE 1500LUMENS , AUTONOMIA SUPERIOR A 2H NA FALTA DE ENERGIA, COM BATERIA SELADA, FLUXEON-1500/L SE IP 43 ACLARAMENTO OU BALIZAMENTO, DJ - SOBREPOR</t>
  </si>
  <si>
    <t>02.04.02.02.33</t>
  </si>
  <si>
    <t>BLOCO AUTÔNOMO PARA ILUMINAÇÃO DE EMERGÊNCIA, COM LEDS DE ACLARAMENTO, FLUXO LUMINOSO CONSTANTE DE 1500LUMENS , AUTONOMIA SUPERIOR A 2H NA FALTA DE ENERGIA, COM BATERIA SELADA - FLUXEON-1500/L SE IP 43 ACLARAMENTO, DJ - EMBUTIR FORRO</t>
  </si>
  <si>
    <t>CABOS</t>
  </si>
  <si>
    <t>02.04.02.03.34</t>
  </si>
  <si>
    <t>CABO PP CORDPLAST 3 CONDUTORES 450/750V 1,50MM2</t>
  </si>
  <si>
    <t>02.04.02.03.35</t>
  </si>
  <si>
    <t>CABO DE COBRE DE 2,5 MM², ISOLAMENTO 750 V - ISOLAÇÃO EM PVC 70°C</t>
  </si>
  <si>
    <t>02.04.02.03.36</t>
  </si>
  <si>
    <t>CABO DE COBRE DE 6 MM², ISOLAMENTO 750 V - ISOLAÇÃO EM PVC 70°C</t>
  </si>
  <si>
    <t>02.04.02.03.37</t>
  </si>
  <si>
    <t>NOBREAK APC SMC3000XLI-BR SMART-UPS 3,0 KVA (3000VA) 220V - T.E.-127V-1F+T - T.S.-127V-1F+T</t>
  </si>
  <si>
    <t>02.04.03</t>
  </si>
  <si>
    <t>VOZ E DADOS</t>
  </si>
  <si>
    <t>02.04.03.01</t>
  </si>
  <si>
    <t>EM PAREDES E ALVENARIAS</t>
  </si>
  <si>
    <t>02.04.03.01.01</t>
  </si>
  <si>
    <t>PLACA DE 4´ X 4´</t>
  </si>
  <si>
    <t>02.04.03.01.02</t>
  </si>
  <si>
    <t>02.04.03.01.03</t>
  </si>
  <si>
    <t>ELETRODUTO FLEXÍVEL CORRUGADO REFORÇADO, PVC, DN 32 MM (1"), PARA CIRCUITOS TERMINAIS, INSTALADO EM FORRO - FORNECIMENTO E INSTALAÇÃO. AF_12/2015</t>
  </si>
  <si>
    <t>02.04.03.01.04</t>
  </si>
  <si>
    <t>LUVA DE EMENDA PARA ELETRODUTO, AÇO GALVANIZADO, DN 25 MM (1''), APARENTE, INSTALADA EM PAREDE - FORNECIMENTO E INSTALAÇÃO. AF_11/2016_P</t>
  </si>
  <si>
    <t>02.04.03.01.05</t>
  </si>
  <si>
    <t>02.04.03.01.06</t>
  </si>
  <si>
    <t>02.04.03.01.07</t>
  </si>
  <si>
    <t>CONECTOR RETO DE ALUMINIO PARA ELETRODUTO DE 1", PARA ADAPTAR ENTRADA DE ELETRODUTO METALICO FLEXIVEL EM QUADROS - FORNECIMENTO E INSTALAÇÃO</t>
  </si>
  <si>
    <t>02.04.03.01.08</t>
  </si>
  <si>
    <t>BUCHA DE ALUMINIO PARA ELETRODUTO 1""</t>
  </si>
  <si>
    <t>02.04.03.01.09</t>
  </si>
  <si>
    <t>FORNECIMENTO E INSTALAÇÃO DE SAÍDA HORIZONTAL PARA ELETRODUTO 1" (REF. VL 33 VALEMAM OU SIMILAR)</t>
  </si>
  <si>
    <t>02.04.03.01.10</t>
  </si>
  <si>
    <t>FORNECIMENTO E INSTALAÇÃO DE PARAFUSO CABEÇA LENTILHA 1/4" X 1/2" (REF. VL 1.68 VALEMAM OU SIMILAR)</t>
  </si>
  <si>
    <t>02.04.03.01.11</t>
  </si>
  <si>
    <t>PORCA SEXTAVADA 1/4", BICROMATIZADA</t>
  </si>
  <si>
    <t>02.04.03.01.12</t>
  </si>
  <si>
    <t>ARRUELA DE PRESSÃO 1/4"</t>
  </si>
  <si>
    <t>02.04.03.02</t>
  </si>
  <si>
    <t>PONTOI WI-FI</t>
  </si>
  <si>
    <t>02.04.03.02.13</t>
  </si>
  <si>
    <t>02.04.03.02.14</t>
  </si>
  <si>
    <t>02.04.03.02.15</t>
  </si>
  <si>
    <t>02.04.03.02.16</t>
  </si>
  <si>
    <t>ELETRODUTO DE AÇO GALVANIZADO, CLASSE LEVE, DN 25 MM (1), APARENTE, INSTALADO EM PAREDE - FORNECIMENTO E INSTALAÇÃO. AF_11/2016_P</t>
  </si>
  <si>
    <t>02.04.03.02.17</t>
  </si>
  <si>
    <t>02.04.03.02.18</t>
  </si>
  <si>
    <t>02.04.03.02.19</t>
  </si>
  <si>
    <t>02.04.03.02.20</t>
  </si>
  <si>
    <t>02.04.03.02.21</t>
  </si>
  <si>
    <t>02.04.03.02.22</t>
  </si>
  <si>
    <t>02.04.03.03</t>
  </si>
  <si>
    <t>02.04.03.03.23</t>
  </si>
  <si>
    <t>FORNECIMENTO DE RACK TIPO ARMÁRIO 19" X 42U X 680MM C/ 05 PATCH PANEL 24 PORTAS CAT.6E - REV 02</t>
  </si>
  <si>
    <t>02.04.03.03.24</t>
  </si>
  <si>
    <t>02.04.03.03.25</t>
  </si>
  <si>
    <t>02.04.03.03.26</t>
  </si>
  <si>
    <t>02.04.03.03.27</t>
  </si>
  <si>
    <t>02.04.03.03.28</t>
  </si>
  <si>
    <t>02.04.03.03.29</t>
  </si>
  <si>
    <t>02.04.03.03.30</t>
  </si>
  <si>
    <t>SAIDA HORIZONTAL PARA ELETRODUTO 2""</t>
  </si>
  <si>
    <t>02.04.03.03.31</t>
  </si>
  <si>
    <t>PERFILADO LISO (38X38)MM EM CHAPA DE AÇO GALVANIZADO #18, COM TRATAMENTO PRÉ-ZINCADO, INCLUSIVE TAMPA DE ENCAIXE, FIXAÇÃO SUPERIOR, CONEXÕES E ACESSÓRIOS</t>
  </si>
  <si>
    <t>02.04.03.03.32</t>
  </si>
  <si>
    <t>ELETRODUTO GALVANIZADO CONFORME NBR13057 - 2´ COM ACESSÓRIOS</t>
  </si>
  <si>
    <t>02.04.03.03.33</t>
  </si>
  <si>
    <t>ELETRODUTO GALVANIZADO CONFORME NBR13057 - 4´ COM ACESSÓRIOS</t>
  </si>
  <si>
    <t>02.04.03.03.34</t>
  </si>
  <si>
    <t>02.04.03.03.35</t>
  </si>
  <si>
    <t>CONDULETE ALUMINIO ""T"" 2"" COM TAMPA</t>
  </si>
  <si>
    <t>02.04.03.03.36</t>
  </si>
  <si>
    <t>02.04.03.03.37</t>
  </si>
  <si>
    <t>CAIXA DE PASSAGEM Nº 2 PADRÃO TELEBRÁS DIM. (20 X 20 X 12) CM EM CHAPA DE AÇO GALVANIZADO</t>
  </si>
  <si>
    <t>02.04.03.03.38</t>
  </si>
  <si>
    <t>CAIXA DE PASSAGEM Nº 3 PADRÃO TELEBRÁS DIM. (40 X 40 X 12) CM EM CHAPA DE AÇO GALVANIZADO</t>
  </si>
  <si>
    <t>02.04.03.03.39</t>
  </si>
  <si>
    <t>CAIXA DE PASSAGEM PARA ELETRICIDADE EM ALUMINIO, DIM: 50 X 50 X 15 CM</t>
  </si>
  <si>
    <t>02.04.03.04</t>
  </si>
  <si>
    <t>ÁREAS EXTERNAS</t>
  </si>
  <si>
    <t>02.04.03.04.40</t>
  </si>
  <si>
    <t>FORNECIMENTO E ASSENTAMENTO DE TUBO PEAD FLEXÍVEL CORRUGADO PERFURADO D = 4" (KANANET OU SIMILAR)</t>
  </si>
  <si>
    <t>02.04.03.04.41</t>
  </si>
  <si>
    <t>CAP DE PVC RÍGIDO SOLDAVEL P/ ESGOTO, DIÂM =100MM</t>
  </si>
  <si>
    <t>02.04.04</t>
  </si>
  <si>
    <t>FIBRA ÓTICA</t>
  </si>
  <si>
    <t>02.04.04.01</t>
  </si>
  <si>
    <t>ELETRODUTO DE AÇO GALVANIZADO MÉDIO, INCLUSIVE CONEXÕES, SUPORTES E FIXAÇÃO DN 100 (4")</t>
  </si>
  <si>
    <t>02.04.04.02</t>
  </si>
  <si>
    <t>CURVA 90 GALVANIZADA 4""</t>
  </si>
  <si>
    <t>02.04.04.03</t>
  </si>
  <si>
    <t>02.04.04.04</t>
  </si>
  <si>
    <t>02.04.05</t>
  </si>
  <si>
    <t>CHAMADA DE EMERGÊNCIA</t>
  </si>
  <si>
    <t>02.04.05.01</t>
  </si>
  <si>
    <t>ELETRODUTO DE AÇO GALVANIZADO, CLASSE LEVE, DN 20 MM (3/4), APARENTE, INSTALADO EM PAREDE - FORNECIMENTO E INSTALAÇÃO. AF_11/2016_P</t>
  </si>
  <si>
    <t>02.04.05.02</t>
  </si>
  <si>
    <t>02.04.05.03</t>
  </si>
  <si>
    <t>ELETRODUTO FLEXÍVEL CORRUGADO REFORÇADO, PVC, DN 25 MM (3/4"), PARA CIRCUITOS TERMINAIS, INSTALADO EM FORRO - FORNECIMENTO E INSTALAÇÃO. AF_12/2015</t>
  </si>
  <si>
    <t>02.04.05.04</t>
  </si>
  <si>
    <t>02.04.05.05</t>
  </si>
  <si>
    <t>02.04.05.06</t>
  </si>
  <si>
    <t>PLACA DE 4´ X 2´</t>
  </si>
  <si>
    <t>02.04.05.07</t>
  </si>
  <si>
    <t>02.04.06</t>
  </si>
  <si>
    <t>CFTV</t>
  </si>
  <si>
    <t>02.04.06.01</t>
  </si>
  <si>
    <t>02.04.06.02</t>
  </si>
  <si>
    <t>ELETRODUTO GALVANIZADO A QUENTE CONFORME NBR6323 - 1´ COM ACESSÓRIOS</t>
  </si>
  <si>
    <t>02.04.06.03</t>
  </si>
  <si>
    <t>02.04.06.04</t>
  </si>
  <si>
    <t>02.04.06.05</t>
  </si>
  <si>
    <t>02.04.06.06</t>
  </si>
  <si>
    <t>CONDULETE DE ALUMÍNIO, TIPO C, PARA ELETRODUTO DE AÇO GALVANIZADO DN 25 MM (1''), APARENTE - FORNECIMENTO E INSTALAÇÃO. AF_11/2016_P</t>
  </si>
  <si>
    <t>02.04.06.07</t>
  </si>
  <si>
    <t>02.04.06.08</t>
  </si>
  <si>
    <t>02.04.06.09</t>
  </si>
  <si>
    <t>CONDULETE ALUMINIO ""L"" 2"" COM TAMPA</t>
  </si>
  <si>
    <t>02.04.06.10</t>
  </si>
  <si>
    <t>CONDULETE EM ALUMÍNIO TIPO "C" DE 2"</t>
  </si>
  <si>
    <t>02.04.06.11</t>
  </si>
  <si>
    <t>CAIXA DE PASSAGEM PVC 20 X 20CM, SISTEMA "X", COM TAMPA</t>
  </si>
  <si>
    <t>02.04.06.12</t>
  </si>
  <si>
    <t>CAIXA DE PASSAGEM EM PVC TIPO AQUATIC, 100X100X50MM</t>
  </si>
  <si>
    <t>02.04.06.13</t>
  </si>
  <si>
    <t>02.04.06.14</t>
  </si>
  <si>
    <t>02.04.06.15</t>
  </si>
  <si>
    <t>PONTO PARA RECEPCAO SINAIS DE TV CIRCUITO DIRIGIDO</t>
  </si>
  <si>
    <t>02.04.07</t>
  </si>
  <si>
    <t>CONTROLE DE ACESSO</t>
  </si>
  <si>
    <t>02.04.07.01</t>
  </si>
  <si>
    <t>02.04.07.02</t>
  </si>
  <si>
    <t>02.04.07.03</t>
  </si>
  <si>
    <t>CURVA 90 GRAUS, CPVC, SOLDÁVEL, DN 28 MM, INSTALADO EM RESERVAÇÃO DE ÁGUA DE EDIFICAÇÃO QUE POSSUA RESERVATÓRIO DE FIBRA/FIBROCIMENTO  FORNECIMENTO E INSTALAÇÃO. AF_06/2016</t>
  </si>
  <si>
    <t>02.04.07.04</t>
  </si>
  <si>
    <t>02.04.07.05</t>
  </si>
  <si>
    <t>02.04.07.06</t>
  </si>
  <si>
    <t>02.04.07.07</t>
  </si>
  <si>
    <t>CAIXA DE PASSAGEM EM ALUMÍNIO PARA PISO 4" X 2" - FORNECIMENTO E ASSENTAMENTO</t>
  </si>
  <si>
    <t>02.04.07.08</t>
  </si>
  <si>
    <t>02.04.07.09</t>
  </si>
  <si>
    <t>02.04.08</t>
  </si>
  <si>
    <t>TV - PAREDES EM ALVENARIA</t>
  </si>
  <si>
    <t>02.04.08.01</t>
  </si>
  <si>
    <t>02.04.08.02</t>
  </si>
  <si>
    <t>02.04.08.03</t>
  </si>
  <si>
    <t>02.04.08.04</t>
  </si>
  <si>
    <t>LUVA DE ALUMÍNIO Ø3/4"</t>
  </si>
  <si>
    <t>02.04.08.05</t>
  </si>
  <si>
    <t>02.04.08.06</t>
  </si>
  <si>
    <t>02.04.08.07</t>
  </si>
  <si>
    <t>CONECTOR RETO DE ALUMINIO PARA ELETRODUTO DE 3/4", PARA ADAPTAR ENTRADA DE ELETRODUTO METALICO FLEXIVEL EM QUADROS - FORNECIMENTO E INSTALAÇÃO</t>
  </si>
  <si>
    <t>02.04.08.08</t>
  </si>
  <si>
    <t>BUCHA DE ALUMINIO PARA ELETRODUTO 3/4""</t>
  </si>
  <si>
    <t>02.04.08.09</t>
  </si>
  <si>
    <t>02.04.08.10</t>
  </si>
  <si>
    <t>02.04.08.11</t>
  </si>
  <si>
    <t>LEITOS - PORCA E ARRUELA 1/4""</t>
  </si>
  <si>
    <t>02.04.08.12</t>
  </si>
  <si>
    <t>02.04.08.13</t>
  </si>
  <si>
    <t>ELETRODUTO FLEXÍVEL CORRUGADO, PEAD, DN 50 (1 1/2"), PARA REDE ENTERRADA DE DISTRIBUIÇÃO DE ENERGIA ELÉTRICA - FORNECIMENTO E INSTALAÇÃO. AF_12/2021</t>
  </si>
  <si>
    <t>02.04.08.14</t>
  </si>
  <si>
    <t>02.04.08.15</t>
  </si>
  <si>
    <t>02.04.08.16</t>
  </si>
  <si>
    <t>02.04.08.17</t>
  </si>
  <si>
    <t>TOMADA PARA TV, TIPO PINO JACK, COM PLACA</t>
  </si>
  <si>
    <t>02.04.09</t>
  </si>
  <si>
    <t>DETECÇÃO E ALARME</t>
  </si>
  <si>
    <t>02.04.09.01</t>
  </si>
  <si>
    <t>DETECTOR ÓPTICO DE FUMAÇA COM BASE ENDEREÇÁVEL</t>
  </si>
  <si>
    <t>02.04.09.02</t>
  </si>
  <si>
    <t>CAIXA DE PASSAGEM DE ALUMÍNIO PARA PISO 30X30X12CM, DA MARCA WETZEL MOD: CP-3030-12 OU SIMILAR.</t>
  </si>
  <si>
    <t>02.04.09.03</t>
  </si>
  <si>
    <t>CONECTOR RETO BITOLA 3/4" FERRO GALV OU ALUMINIO PARA ADAPTACAO DE ENTRADAS</t>
  </si>
  <si>
    <t>02.04.09.04</t>
  </si>
  <si>
    <t>ELETRODUTO METALICO FLEXIVEL REVESTIDO EXTERNAMENTE COM PVC PRETO, DIAMETRO EXTERNO DE 25 MM (3/4"), TIPO SEALTUBO</t>
  </si>
  <si>
    <t>02.04.09.05</t>
  </si>
  <si>
    <t>02.04.09.06</t>
  </si>
  <si>
    <t>02.04.09.07</t>
  </si>
  <si>
    <t>02.04.09.08</t>
  </si>
  <si>
    <t>ACIONADOR MANUAL DE ALARME CONTRA INCENDIO</t>
  </si>
  <si>
    <t>02.04.09.09</t>
  </si>
  <si>
    <t>CAIXA DE LIGAÇÃO/PASSAGEM EM PVC RÍGIDO PARA ELETRODUTO, DIMENSÕES 4"X4", EMBUTIDA EM PAREDE DE GESSO ACARTONADO (DRY-WALL) - FORNECIMENTO E INSTALAÇÃO</t>
  </si>
  <si>
    <t>02.04.09.10</t>
  </si>
  <si>
    <t>02.04.09.11</t>
  </si>
  <si>
    <t>02.04.09.12</t>
  </si>
  <si>
    <t>SINALIZADOR SONORO EM LED VEICULAR</t>
  </si>
  <si>
    <t>02.04.09.13</t>
  </si>
  <si>
    <t>02.04.09.14</t>
  </si>
  <si>
    <t>02.04.09.15</t>
  </si>
  <si>
    <t>02.04.09.16</t>
  </si>
  <si>
    <t>ALARME SONORO BITONAL 220 V PARA PAINEL DE COMANDO</t>
  </si>
  <si>
    <t>02.04.09.17</t>
  </si>
  <si>
    <t>02.04.09.18</t>
  </si>
  <si>
    <t>02.04.09.19</t>
  </si>
  <si>
    <t>02.04.09.20</t>
  </si>
  <si>
    <t>MODULO DE CONTROLE CENTRAL CS-NET WEB HITACHI</t>
  </si>
  <si>
    <t>02.04.09.21</t>
  </si>
  <si>
    <t>MODULO DE SUPERVISÃO ENDEREÇAVEL BSKY IM5EI</t>
  </si>
  <si>
    <t>02.04.09.22</t>
  </si>
  <si>
    <t>CAIXA DE PASSAGEM EM ALUMÍNIO FUNDIDO À PROVA DE TEMPO, 200 X 200 MM</t>
  </si>
  <si>
    <t>02.04.09.23</t>
  </si>
  <si>
    <t>02.04.09.24</t>
  </si>
  <si>
    <t>02.04.09.25</t>
  </si>
  <si>
    <t>02.04.09.26</t>
  </si>
  <si>
    <t>02.04.09.27</t>
  </si>
  <si>
    <t>CABO DE COBRE PP CORDPLAST 2 X 1,5 MM2, 450/750V</t>
  </si>
  <si>
    <t>02.04.09.28</t>
  </si>
  <si>
    <t>PRENSA CABO DE 3/4", FORNECIMENTO</t>
  </si>
  <si>
    <t>02.04.09.29</t>
  </si>
  <si>
    <t>CENTRAL DE ALARME DE INCENDIO INTELBRAS CIE 1125 ENDERECAVEL</t>
  </si>
  <si>
    <t>02.04.09.30</t>
  </si>
  <si>
    <t>02.04.09.31</t>
  </si>
  <si>
    <t>02.04.09.32</t>
  </si>
  <si>
    <t>02.04.09.33</t>
  </si>
  <si>
    <t>FORNECIMENTO E INSTALAÇÃO DE FONTE DE ALIMENTAÇÃO 12V / 10A (OU SIMILAR)</t>
  </si>
  <si>
    <t>02.04.09.34</t>
  </si>
  <si>
    <t>REFLETOR 100W LED LINEAR BLINDADO A PROVA D'AGUA</t>
  </si>
  <si>
    <t>02.04.09.35</t>
  </si>
  <si>
    <t>DETECTOR DE FUMACA FOTOELETRICO - ENDERECAVEL - CL-180</t>
  </si>
  <si>
    <t>02.04.09.36</t>
  </si>
  <si>
    <t>CABO UTP CAT. 6</t>
  </si>
  <si>
    <t>02.04.09.37</t>
  </si>
  <si>
    <t>CABO DE COBRE FLEXÍVEL ISOLADO, 2,5 MM², ANTI-CHAMA 0,6/1,0 KV, PARA CIRCUITOS TERMINAIS - FORNECIMENTO E INSTALAÇÃO. AF_12/2015</t>
  </si>
  <si>
    <t>02.04.09.38</t>
  </si>
  <si>
    <t>CAIXA DE PASSAGEM CHAPA TAMPA PARAFUSADA DE 20X20X10 CM</t>
  </si>
  <si>
    <t>02.04.10</t>
  </si>
  <si>
    <t>PARA RAIOS</t>
  </si>
  <si>
    <t>02.04.10.01</t>
  </si>
  <si>
    <t>CAPTOR TIPO FRANKLIN</t>
  </si>
  <si>
    <t>02.04.10.01.01</t>
  </si>
  <si>
    <t>CAPTOR TIPO FRANKLIN PARA SPDA - FORNECIMENTO E INSTALAÇÃO. AF_12/2017</t>
  </si>
  <si>
    <t>02.04.10.01.02</t>
  </si>
  <si>
    <t>MASTRO DE PARA-RAIOS 1.1/2""X3,0M</t>
  </si>
  <si>
    <t>02.04.10.01.03</t>
  </si>
  <si>
    <t>BASE PARA MASTRO DE DIÂMETRO 2´</t>
  </si>
  <si>
    <t>02.04.10.01.04</t>
  </si>
  <si>
    <t>CONTRAVENTAGEM COM CABO PARA MASTRO DE DIÂMETRO 2´</t>
  </si>
  <si>
    <t>02.04.10.01.05</t>
  </si>
  <si>
    <t>ISOLADOR GALVANIZADO PARA MASTRO DE DIÂMETRO 2´, REFORÇADO COM 2 DESCIDAS</t>
  </si>
  <si>
    <t>02.04.10.02</t>
  </si>
  <si>
    <t>CAPTOR TIPO GAIOLA DE FARADAY</t>
  </si>
  <si>
    <t>02.04.10.02.06</t>
  </si>
  <si>
    <t>BARRA CONDUTORA CHATA EM ALUMÍNIO DE 7/8´ X 1/8´, INCLUSIVE ACESSÓRIOS DE FIXAÇÃO</t>
  </si>
  <si>
    <t>02.04.10.02.07</t>
  </si>
  <si>
    <t>CABO COBRE NU 7 FIOS 1AWG - 35MM2</t>
  </si>
  <si>
    <t>02.04.10.02.08</t>
  </si>
  <si>
    <t>CONECTOR SPLIT-BOLT PARA CABO DE 35 MM², LATÃO, COM RABICHO</t>
  </si>
  <si>
    <t>02.04.10.02.09</t>
  </si>
  <si>
    <t>TERMINAL DE PRESSÃO/COMPRESSÃO PARA CABO DE 35 MM²</t>
  </si>
  <si>
    <t>02.04.10.03</t>
  </si>
  <si>
    <t>DESCIDAS</t>
  </si>
  <si>
    <t>02.04.10.03.10</t>
  </si>
  <si>
    <t>BARRA GALVANIZADA A FOGO DIAM. 3/8"</t>
  </si>
  <si>
    <t>02.04.10.04</t>
  </si>
  <si>
    <t>ATERRAMENTO</t>
  </si>
  <si>
    <t>02.04.10.04.11</t>
  </si>
  <si>
    <t>HASTE DE ATERRAMENTO 5/8 PARA SPDA - FORNECIMENTO E INSTALAÇÃO. AF_12/2017</t>
  </si>
  <si>
    <t>02.04.10.04.12</t>
  </si>
  <si>
    <t>CONECTOR OLHAL CABO/HASTE DE 5/8´</t>
  </si>
  <si>
    <t>02.04.10.04.13</t>
  </si>
  <si>
    <t>CABO DE COBRE NU # 50 MM2</t>
  </si>
  <si>
    <t>02.04.10.04.14</t>
  </si>
  <si>
    <t>FORNECIMENTO E INSTALAÇÃO DE CAIXA DE PASSAGEM EM ALUMÍNIO (30 X 30 X 10 CM)</t>
  </si>
  <si>
    <t>02.04.10.04.15</t>
  </si>
  <si>
    <t>CONECTOR SPLIT-BOLT PARA CABO DE 50 MM², LATÃO, SIMPLES</t>
  </si>
  <si>
    <t>02.04.11</t>
  </si>
  <si>
    <t>ALIMENTADORES</t>
  </si>
  <si>
    <t>02.04.11.01</t>
  </si>
  <si>
    <t>PAINEL GERAL DE B.T DA CPRM SUBESTAÇÃO SE 1 (EXISTENTE)</t>
  </si>
  <si>
    <t>02.04.11.01.01</t>
  </si>
  <si>
    <t>DISJUNTOR TRIPOLAR 250A</t>
  </si>
  <si>
    <t>02.04.11.01.02</t>
  </si>
  <si>
    <t>ADEQUAÇÃO NO PAINEL EXISTENTE PARA INSTALAÇÃO DO DISJUNTOR</t>
  </si>
  <si>
    <t>VB</t>
  </si>
  <si>
    <t>02.04.11.02</t>
  </si>
  <si>
    <t>QF-N-B.INCÊNDIO 220/127V</t>
  </si>
  <si>
    <t>02.04.11.02.01</t>
  </si>
  <si>
    <t>DISJUNTOR TRIPOLAR 80A CURVA C</t>
  </si>
  <si>
    <t>02.04.11.02.02</t>
  </si>
  <si>
    <t>CAIXA PARA 1 DISJUNTOR TRIFÁSICO ATÉ 100A E BARRAMENTOS</t>
  </si>
  <si>
    <t>02.04.11.03</t>
  </si>
  <si>
    <t>QGBT-N-LITOTECA</t>
  </si>
  <si>
    <t>02.04.11.03.01</t>
  </si>
  <si>
    <t>DISJUNTOR TRIPOLAR IN=40A</t>
  </si>
  <si>
    <t>02.04.11.03.02</t>
  </si>
  <si>
    <t>DISPOSITIVO SUPPRESOR DE SURTO DPS CLASSE 1 100 KA, 350V, 1,5 KV</t>
  </si>
  <si>
    <t>02.04.11.03.03</t>
  </si>
  <si>
    <t>FUSÍVEL DIAZED RETARDADO DE 2 A ATÉ 25 A</t>
  </si>
  <si>
    <t>02.04.11.03.04</t>
  </si>
  <si>
    <t>MEDIDOR MULTIFUNÇÃO PARA MEDIÇÃO INDIRETA</t>
  </si>
  <si>
    <t>02.04.11.03.05</t>
  </si>
  <si>
    <t>TRANSFORMADOR DE CORRENTE RELAÇÃO 400:5 A</t>
  </si>
  <si>
    <t>02.04.11.03.06</t>
  </si>
  <si>
    <t>DISJUNTOR TERMOMAGNÉTICO TRIPOLAR , CORRENTE NOMINAL DE 250A - FORNECIMENTO E INSTALAÇÃO. AF_10/2020</t>
  </si>
  <si>
    <t>02.04.11.03.07</t>
  </si>
  <si>
    <t>DISJUNTOR TRIPOLAR TIPO NEMA, CORRENTE NOMINAL DE 60 ATÉ 100A - FORNECIMENTO E INSTALAÇÃO. AF_10/2020</t>
  </si>
  <si>
    <t>02.04.11.03.08</t>
  </si>
  <si>
    <t>DISJUNTOR TERMOMAGNÉTICO TRIPOLAR , CORRENTE NOMINAL DE 125A - FORNECIMENTO E INSTALAÇÃO. AF_10/2020</t>
  </si>
  <si>
    <t>02.04.11.03.09</t>
  </si>
  <si>
    <t>02.04.11.03.10</t>
  </si>
  <si>
    <t>02.04.11.03.11</t>
  </si>
  <si>
    <t>DISJUNTOR TRIPOLAR TIPO DIN, CORRENTE NOMINAL DE 32A - FORNECIMENTO E INSTALAÇÃO. AF_10/2020</t>
  </si>
  <si>
    <t>02.04.11.03.12</t>
  </si>
  <si>
    <t>DISJUNTOR TRIPOLAR TIPO DIN, CORRENTE NOMINAL DE 40A - FORNECIMENTO E INSTALAÇÃO. AF_10/2020</t>
  </si>
  <si>
    <t>02.04.11.03.13</t>
  </si>
  <si>
    <t>DISJUNTOR TRIPOLAR TIPO DIN, CORRENTE NOMINAL DE 50A - FORNECIMENTO E INSTALAÇÃO. AF_10/2020</t>
  </si>
  <si>
    <t>02.04.11.03.14</t>
  </si>
  <si>
    <t>QUADRO DE DISTRIBUIÇÃO DE EMBUTIR, EM CHAPA DE AÇO, PARA ATÉ 70 DISJUNTORES, COM BARRAMENTO, PADRÃO DIN, EXCLUSIVE DISJUNTORES</t>
  </si>
  <si>
    <t>02.04.11.04</t>
  </si>
  <si>
    <t>QLF-N-INFERIOR SCANNER</t>
  </si>
  <si>
    <t>02.04.11.04.01</t>
  </si>
  <si>
    <t>CHAVE SECCIONADORA TRIPOLAR, ABERTURA SOB CARGA, COM FUSÍVEIS NH - 100A/250V - FORNECIMENTO E INSTALACAO</t>
  </si>
  <si>
    <t>02.04.11.04.02</t>
  </si>
  <si>
    <t>02.04.11.04.03</t>
  </si>
  <si>
    <t>DISPOSITIVO SUPRESSOR DE SURTO DPS CLASSE 2 40 KA, 350V, 1,4 KV</t>
  </si>
  <si>
    <t>02.04.11.04.04</t>
  </si>
  <si>
    <t>DISJUNTOR MONOPOLAR TIPO DIN, CORRENTE NOMINAL DE 16A - FORNECIMENTO E INSTALAÇÃO. AF_10/2020</t>
  </si>
  <si>
    <t>02.04.11.04.05</t>
  </si>
  <si>
    <t>DISJUNTOR BIPOLAR TIPO DIN, CORRENTE NOMINAL DE 16A - FORNECIMENTO E INSTALAÇÃO. AF_10/2020</t>
  </si>
  <si>
    <t>02.04.11.04.06</t>
  </si>
  <si>
    <t>DISJUNTOR BIPOLAR TIPO DIN, CORRENTE NOMINAL DE 20A - FORNECIMENTO E INSTALAÇÃO. AF_10/2020</t>
  </si>
  <si>
    <t>02.04.11.04.07</t>
  </si>
  <si>
    <t>DISJUNTOR BIPOLAR DR 40 A - DISPOSITIVO RESIDUAL DIFERENCIAL, TIPO AC, 30MA, REF.5SM1 314-OMB, SIEMENS OU SIMILAR</t>
  </si>
  <si>
    <t>02.04.11.04.08</t>
  </si>
  <si>
    <t>DISPOSITIVO DIFERENCIAL RESIDUAL DE 25 A X 30 MA - 4 POLOS</t>
  </si>
  <si>
    <t>02.04.11.04.09</t>
  </si>
  <si>
    <t>02.04.11.05</t>
  </si>
  <si>
    <t>QLF-N-INFERIOR SL.CORTES</t>
  </si>
  <si>
    <t>02.04.11.05.01</t>
  </si>
  <si>
    <t>CHAVE SECCIONADORA TRIPOLAR, ABERTURA SOB CARGA, COM FUSÍVEIS NH00 - 125A/500V</t>
  </si>
  <si>
    <t>02.04.11.05.02</t>
  </si>
  <si>
    <t>02.04.11.05.03</t>
  </si>
  <si>
    <t>02.04.11.05.04</t>
  </si>
  <si>
    <t>02.04.11.05.05</t>
  </si>
  <si>
    <t>02.04.11.05.06</t>
  </si>
  <si>
    <t>02.04.11.05.07</t>
  </si>
  <si>
    <t>DISJUNTOR TRIPOLAR TIPO DIN, CORRENTE NOMINAL DE 16A - FORNECIMENTO E INSTALAÇÃO. AF_10/2020</t>
  </si>
  <si>
    <t>02.04.11.05.08</t>
  </si>
  <si>
    <t>DISJUNTOR TRIPOLAR TIPO DIN, CORRENTE NOMINAL DE 20A - FORNECIMENTO E INSTALAÇÃO. AF_10/2020</t>
  </si>
  <si>
    <t>02.04.11.05.09</t>
  </si>
  <si>
    <t>DISJUNTOR TRIPOLAR TIPO DIN, CORRENTE NOMINAL DE 25A - FORNECIMENTO E INSTALAÇÃO. AF_10/2020</t>
  </si>
  <si>
    <t>02.04.11.05.10</t>
  </si>
  <si>
    <t>02.04.11.05.11</t>
  </si>
  <si>
    <t>02.04.11.05.12</t>
  </si>
  <si>
    <t>DISPOSITIVO DIFERENCIAL RESIDUAL DE 40 A X 30 MA - 4 POLOS</t>
  </si>
  <si>
    <t>02.04.11.05.13</t>
  </si>
  <si>
    <t>QUADRO DE DISTRIBUIÇÃO DE EMBUTIR, EM CHAPA DE AÇO, PARA ATÉ 56 DISJUNTORES, COM BARRAMENTO, PADRÃO DIN, EXCLUSIVE DISJUNTORES</t>
  </si>
  <si>
    <t>02.04.11.06</t>
  </si>
  <si>
    <t>QLF-N-INFERIOR LITOTECA</t>
  </si>
  <si>
    <t>02.04.11.06.01</t>
  </si>
  <si>
    <t>CHAVE SECCIONADORA TRIPOLAR 63A, MANOBRA C/ CARGA ACIONAMENTO POR ALAVANCA P/ QUADRO DE DIST DE ENERGIA</t>
  </si>
  <si>
    <t>02.04.11.06.02</t>
  </si>
  <si>
    <t>02.04.11.06.03</t>
  </si>
  <si>
    <t>02.04.11.06.04</t>
  </si>
  <si>
    <t>02.04.11.06.05</t>
  </si>
  <si>
    <t>02.04.11.06.06</t>
  </si>
  <si>
    <t>02.04.11.06.07</t>
  </si>
  <si>
    <t>02.04.11.06.08</t>
  </si>
  <si>
    <t>02.04.11.06.09</t>
  </si>
  <si>
    <t>02.04.11.07</t>
  </si>
  <si>
    <t>QLF-N-SUPERIOR PREPARO</t>
  </si>
  <si>
    <t>02.04.11.07.01</t>
  </si>
  <si>
    <t>02.04.11.07.02</t>
  </si>
  <si>
    <t>02.04.11.07.03</t>
  </si>
  <si>
    <t>02.04.11.07.04</t>
  </si>
  <si>
    <t>02.04.11.07.05</t>
  </si>
  <si>
    <t>02.04.11.07.06</t>
  </si>
  <si>
    <t>DISJUNTOR MONOPOLAR TIPO DIN, CORRENTE NOMINAL DE 20A - FORNECIMENTO E INSTALAÇÃO. AF_10/2020</t>
  </si>
  <si>
    <t>02.04.11.07.07</t>
  </si>
  <si>
    <t>02.04.11.07.08</t>
  </si>
  <si>
    <t>02.04.11.07.09</t>
  </si>
  <si>
    <t>02.04.11.07.10</t>
  </si>
  <si>
    <t>CAIXA PARA ATÉ 80 DISJUNTORES E BARRAMENTO</t>
  </si>
  <si>
    <t>02.04.11.08</t>
  </si>
  <si>
    <t>QLF-N-SUPERIOR ADM</t>
  </si>
  <si>
    <t>02.04.11.08.01</t>
  </si>
  <si>
    <t>02.04.11.08.02</t>
  </si>
  <si>
    <t>02.04.11.08.03</t>
  </si>
  <si>
    <t>02.04.11.08.04</t>
  </si>
  <si>
    <t>02.04.11.08.05</t>
  </si>
  <si>
    <t>02.04.11.08.06</t>
  </si>
  <si>
    <t>02.04.11.08.07</t>
  </si>
  <si>
    <t>02.04.11.08.08</t>
  </si>
  <si>
    <t>02.04.11.08.09</t>
  </si>
  <si>
    <t>QUADRO DE DISTRIBUIÇÃO DE ENERGIA EM CHAPA DE AÇO GALVANIZADO, DE EMBUTIR, COM BARRAMENTO TRIFÁSICO, PARA 40 DISJUNTORES DIN 100A - FORNECIMENTO E INSTALAÇÃO. AF_10/2020</t>
  </si>
  <si>
    <t>02.04.11.09</t>
  </si>
  <si>
    <t>QLF-N-COBERTURA SCANNER</t>
  </si>
  <si>
    <t>02.04.11.09.01</t>
  </si>
  <si>
    <t>02.04.11.09.02</t>
  </si>
  <si>
    <t>02.04.11.09.03</t>
  </si>
  <si>
    <t>02.04.11.09.04</t>
  </si>
  <si>
    <t>02.04.11.09.05</t>
  </si>
  <si>
    <t>02.04.11.09.06</t>
  </si>
  <si>
    <t>02.04.11.09.07</t>
  </si>
  <si>
    <t>DISJUNTOR BIPOLAR TIPO DIN, CORRENTE NOMINAL DE 32A - FORNECIMENTO E INSTALAÇÃO. AF_10/2020</t>
  </si>
  <si>
    <t>02.04.11.09.08</t>
  </si>
  <si>
    <t>DISJUNTOR BIPOLAR TIPO DIN, CORRENTE NOMINAL DE 40A - FORNECIMENTO E INSTALAÇÃO. AF_10/2020</t>
  </si>
  <si>
    <t>02.04.11.09.09</t>
  </si>
  <si>
    <t>02.04.11.09.10</t>
  </si>
  <si>
    <t>02.04.11.09.11</t>
  </si>
  <si>
    <t>02.04.11.10</t>
  </si>
  <si>
    <t>QFAC-N-COBERTURA ADM</t>
  </si>
  <si>
    <t>02.04.11.10.01</t>
  </si>
  <si>
    <t>02.04.11.10.02</t>
  </si>
  <si>
    <t>02.04.11.10.03</t>
  </si>
  <si>
    <t>02.04.11.10.04</t>
  </si>
  <si>
    <t>02.04.11.10.05</t>
  </si>
  <si>
    <t>02.04.11.10.06</t>
  </si>
  <si>
    <t>02.04.11.10.07</t>
  </si>
  <si>
    <t>02.04.11.10.08</t>
  </si>
  <si>
    <t>QUADRO DE DISTRIBUIÇÃO DE ENERGIA EM CHAPA DE AÇO GALVANIZADO, DE EMBUTIR, COM BARRAMENTO TRIFÁSICO, PARA 30 DISJUNTORES DIN 150A - FORNECIMENTO E INSTALAÇÃO. AF_10/2020</t>
  </si>
  <si>
    <t>02.04.11.11</t>
  </si>
  <si>
    <t>QF-N-RECALQUE</t>
  </si>
  <si>
    <t>02.04.11.11.01</t>
  </si>
  <si>
    <t>02.04.11.11.02</t>
  </si>
  <si>
    <t>02.04.11.11.03</t>
  </si>
  <si>
    <t>CONTATORA 3RT10-15</t>
  </si>
  <si>
    <t>02.04.11.11.04</t>
  </si>
  <si>
    <t>DISJUNTOR MONOPOLAR TIPO DIN, CORRENTE NOMINAL DE 10A - FORNECIMENTO E INSTALAÇÃO. AF_10/2020</t>
  </si>
  <si>
    <t>02.04.11.11.05</t>
  </si>
  <si>
    <t>RELÉ TÉRMICO 3RU11-16 (1,8 - 2,8A)</t>
  </si>
  <si>
    <t>02.04.11.11.06</t>
  </si>
  <si>
    <t>CHAVE ROTATIVA MANUAL/AUTOMÁTICO Ø 30,5</t>
  </si>
  <si>
    <t>02.04.11.11.07</t>
  </si>
  <si>
    <t>CHAVE ROTATIVA Ø 30,5 LIGA/DESLIGA</t>
  </si>
  <si>
    <t>02.04.11.11.08</t>
  </si>
  <si>
    <t>CHAVE COMUTADORA Ø 30,5</t>
  </si>
  <si>
    <t>02.04.11.11.09</t>
  </si>
  <si>
    <t>FUSÍVEL DIAZED 4A</t>
  </si>
  <si>
    <t>02.04.11.11.10</t>
  </si>
  <si>
    <t>LÂMPADA DE SINALIZAÇÃO 220V, COR VERMELHA</t>
  </si>
  <si>
    <t>02.04.11.11.11</t>
  </si>
  <si>
    <t>02.04.11.11.12</t>
  </si>
  <si>
    <t>QUADRO DE DISTRIBUIÇÃO DE ENERGIA EM CHAPA DE AÇO GALVANIZADO, DE EMBUTIR, COM BARRAMENTO TRIFÁSICO, PARA 24 DISJUNTORES DIN 100A - FORNECIMENTO E INSTALAÇÃO. AF_10/2020</t>
  </si>
  <si>
    <t>02.04.11.12</t>
  </si>
  <si>
    <t>QF-N-B.INCÊNDIO</t>
  </si>
  <si>
    <t>02.04.11.12.01</t>
  </si>
  <si>
    <t>CHAVE SECCIONADORA TRIPOLAR 40A, MANOBRA C/ CARGA ACIONAMENTO POR ALAVANCA P/ QUADRO DE DIST DE ENERGIA</t>
  </si>
  <si>
    <t>02.04.11.12.02</t>
  </si>
  <si>
    <t>02.04.11.12.03</t>
  </si>
  <si>
    <t>02.04.11.12.04</t>
  </si>
  <si>
    <t>FUSÍVEL DIAZED RETARDADO DE 35 A ATÉ 63 A</t>
  </si>
  <si>
    <t>02.04.11.12.05</t>
  </si>
  <si>
    <t>02.04.11.12.06</t>
  </si>
  <si>
    <t>CONTATORA 3RT10-26</t>
  </si>
  <si>
    <t>02.04.11.12.07</t>
  </si>
  <si>
    <t>RELÉ TÉRMICO 3RU11-26 (14-20A)</t>
  </si>
  <si>
    <t>02.04.11.12.08</t>
  </si>
  <si>
    <t>02.04.11.12.09</t>
  </si>
  <si>
    <t>BOTÃO Ø 22MM LIGA A BOMBA</t>
  </si>
  <si>
    <t>02.04.11.12.10</t>
  </si>
  <si>
    <t>BOTÃO DE COMANDO DUPLO SEM SINALIZADOR</t>
  </si>
  <si>
    <t>02.04.11.12.11</t>
  </si>
  <si>
    <t>02.04.11.12.12</t>
  </si>
  <si>
    <t>BOTÃO DE COMANDO DUPLO COM SINALEIRA - SIEMENS OU SIMILAR</t>
  </si>
  <si>
    <t>02.04.11.12.13</t>
  </si>
  <si>
    <t>02.04.11.12.14</t>
  </si>
  <si>
    <t>RELÉ DE TEMPO 7PU05</t>
  </si>
  <si>
    <t>02.04.11.12.15</t>
  </si>
  <si>
    <t>02.04.11.13</t>
  </si>
  <si>
    <t>PF-PRESSURIZAÇÃO</t>
  </si>
  <si>
    <t>02.04.11.13.01</t>
  </si>
  <si>
    <t>02.04.11.13.02</t>
  </si>
  <si>
    <t>02.04.11.13.03</t>
  </si>
  <si>
    <t>02.04.11.13.04</t>
  </si>
  <si>
    <t>02.04.11.13.05</t>
  </si>
  <si>
    <t>02.04.11.13.06</t>
  </si>
  <si>
    <t>02.04.11.13.07</t>
  </si>
  <si>
    <t>02.04.11.13.08</t>
  </si>
  <si>
    <t>02.04.11.13.09</t>
  </si>
  <si>
    <t>02.04.11.13.10</t>
  </si>
  <si>
    <t>02.04.11.13.11</t>
  </si>
  <si>
    <t>RELÉ BIESTÁVEL P2Q COEL OU SIEMENS</t>
  </si>
  <si>
    <t>02.04.11.13.12</t>
  </si>
  <si>
    <t>CHAVE DE 3 POSIÇÕES AUTOMÁTICO/MANUAL</t>
  </si>
  <si>
    <t>02.04.11.13.13</t>
  </si>
  <si>
    <t>02.04.11.13.14</t>
  </si>
  <si>
    <t>RELÉ DE TEMPO 7PU20</t>
  </si>
  <si>
    <t>02.04.11.13.15</t>
  </si>
  <si>
    <t>BOTOEIRA LIGA-DESLIGA PARA BOMBA DE INCÊNDIO MODELO BLD-1, MARCA VERIN OU SIMILAR</t>
  </si>
  <si>
    <t>02.04.11.13.16</t>
  </si>
  <si>
    <t>02.04.11.13.17</t>
  </si>
  <si>
    <t>02.04.11.14</t>
  </si>
  <si>
    <t>ELETRODUTOS E TUBOS</t>
  </si>
  <si>
    <t>02.04.11.14.01</t>
  </si>
  <si>
    <t>SAIDA VERTICAL PARA ELETRODUTO D=1"</t>
  </si>
  <si>
    <t>02.04.11.14.02</t>
  </si>
  <si>
    <t>ELETRODUTO FERRO GALVANIZADO ROSCAVEL 3/4"" COM CONEXOES</t>
  </si>
  <si>
    <t>02.04.11.14.03</t>
  </si>
  <si>
    <t>ELETRODUTO FERRO GALVANIZADO ROSCAVEL 1.1/2"" COM CONEXOES</t>
  </si>
  <si>
    <t>02.04.11.14.04</t>
  </si>
  <si>
    <t>ELETRODUTO FERRO GALVANIZADO ROSCAVEL 1.1/4"" COM CONEXOES</t>
  </si>
  <si>
    <t>02.04.11.14.05</t>
  </si>
  <si>
    <t>ELETRODUTO FERRO GALVANIZADO ROSCAVEL 2"" COM CONEXOES</t>
  </si>
  <si>
    <t>02.04.11.14.06</t>
  </si>
  <si>
    <t>CURVA 90 ELETRODUTO FERRO GALVANIZADO 1""</t>
  </si>
  <si>
    <t>02.04.11.14.07</t>
  </si>
  <si>
    <t>CURVA ELETRODUTO GALVANIZADO 2""</t>
  </si>
  <si>
    <t>02.04.11.14.08</t>
  </si>
  <si>
    <t>ELETRODUTO FLEXIVEL PVC TIGREFLEX REFORCADO LARANJA 25MM</t>
  </si>
  <si>
    <t>02.04.11.14.09</t>
  </si>
  <si>
    <t>ELETRODUTO FLEXÍVEL CORRUGADO, PEAD, DN 63 (2"), PARA REDE ENTERRADA DE DISTRIBUIÇÃO DE ENERGIA ELÉTRICA - FORNECIMENTO E INSTALAÇÃO. AF_12/2021</t>
  </si>
  <si>
    <t>02.04.11.14.10</t>
  </si>
  <si>
    <t>ELETRODUTO FLEXÍVEL CORRUGADO, PEAD, DN 100 (4"), PARA REDE ENTERRADA DE DISTRIBUIÇÃO DE ENERGIA ELÉTRICA - FORNECIMENTO E INSTALAÇÃO. AF_12/2021</t>
  </si>
  <si>
    <t>02.04.11.14.11</t>
  </si>
  <si>
    <t>02.04.11.14.12</t>
  </si>
  <si>
    <t>02.04.11.14.13</t>
  </si>
  <si>
    <t>02.04.11.14.14</t>
  </si>
  <si>
    <t>BORNE TERMINAL SAK 2,5 MM2</t>
  </si>
  <si>
    <t>02.04.11.14.15</t>
  </si>
  <si>
    <t>BORNE TERMINAL SAK 4 MM2</t>
  </si>
  <si>
    <t>02.04.11.14.16</t>
  </si>
  <si>
    <t>BORNE TERMINAL SAK 6 MM2</t>
  </si>
  <si>
    <t>02.04.11.14.17</t>
  </si>
  <si>
    <t>02.04.11.14.18</t>
  </si>
  <si>
    <t>02.04.11.14.19</t>
  </si>
  <si>
    <t>02.04.11.14.20</t>
  </si>
  <si>
    <t>CAIXA DE PASSAGEM CHAPA TAMPA PARAFUSADA DE 30X30X12 CM</t>
  </si>
  <si>
    <t>02.04.11.14.21</t>
  </si>
  <si>
    <t>CAIXA DE PASSAGEM CHAPA TAMPA PARAFUSADA DE 40X40X15 CM</t>
  </si>
  <si>
    <t>02.04.11.14.22</t>
  </si>
  <si>
    <t>BÓIA ELÉTRICA PARA RESERVATÓRIO SUPERIOR, MARCA AQUAMATIC OU SIMILAR, CAPACIDADE 30 A - FORNECIMENTO E INSTALAÇÃO</t>
  </si>
  <si>
    <t>02.04.11.15</t>
  </si>
  <si>
    <t>CABOS E TERMINAIS</t>
  </si>
  <si>
    <t>02.04.11.15.01</t>
  </si>
  <si>
    <t>CABO DE COBRE FLEXÍVEL ISOLADO, 2,5 MM², ANTI-CHAMA 450/750 V, PARA CIRCUITOS TERMINAIS - FORNECIMENTO E INSTALAÇÃO. AF_12/2015</t>
  </si>
  <si>
    <t>02.04.11.15.02</t>
  </si>
  <si>
    <t>CABO DE COBRE FLEXÍVEL ISOLADO, 4 MM², ANTI-CHAMA 450/750 V, PARA CIRCUITOS TERMINAIS - FORNECIMENTO E INSTALAÇÃO. AF_12/2015</t>
  </si>
  <si>
    <t>02.04.11.15.03</t>
  </si>
  <si>
    <t>CABO DE COBRE FLEXÍVEL DE 6 MM², ISOLAMENTO 0,6/1 KV - ISOLAÇÃO HEPR 90°C - BAIXA EMISSÃO DE FUMAÇA E GASES</t>
  </si>
  <si>
    <t>02.04.11.15.04</t>
  </si>
  <si>
    <t>CABO DE COBRE FLEXÍVEL DE 10 MM², ISOLAMENTO 0,6/1 KV - ISOLAÇÃO HEPR 90°C - BAIXA EMISSÃO DE FUMAÇA E GASES</t>
  </si>
  <si>
    <t>02.04.11.15.05</t>
  </si>
  <si>
    <t>CABO DE COBRE FLEXÍVEL DE 16 MM², ISOLAMENTO 0,6/1 KV - ISOLAÇÃO HEPR 90°C - BAIXA EMISSÃO DE FUMAÇA E GASES</t>
  </si>
  <si>
    <t>02.04.11.15.06</t>
  </si>
  <si>
    <t>CABO DE COBRE FLEXÍVEL DE 25 MM², ISOLAMENTO 0,6/1 KV - ISOLAÇÃO HEPR 90°C - BAIXA EMISSÃO DE FUMAÇA E GASES</t>
  </si>
  <si>
    <t>02.04.11.15.07</t>
  </si>
  <si>
    <t>CABO DE COBRE FLEXÍVEL DE 35 MM², ISOLAMENTO 0,6/1 KV - ISOLAÇÃO HEPR 90°C - BAIXA EMISSÃO DE FUMAÇA E GASES</t>
  </si>
  <si>
    <t>02.04.11.15.08</t>
  </si>
  <si>
    <t>CABO DE COBRE FLEXÍVEL DE 50 MM², ISOLAMENTO 0,6/1 KV - ISOLAÇÃO HEPR 90°C - BAIXA EMISSÃO DE FUMAÇA E GASES</t>
  </si>
  <si>
    <t>02.04.11.15.09</t>
  </si>
  <si>
    <t>CABO DE COBRE FLEXÍVEL DE 95 MM², ISOLAMENTO 0,6/1 KV - ISOLAÇÃO HEPR 90°C - BAIXA EMISSÃO DE FUMAÇA E GASES</t>
  </si>
  <si>
    <t>02.04.11.15.10</t>
  </si>
  <si>
    <t>CABO DE COBRE FLEXÍVEL DE 185 MM², ISOLAMENTO 0,6/1 KV - ISOLAÇÃO HEPR 90°C - BAIXA EMISSÃO DE FUMAÇA E GASES</t>
  </si>
  <si>
    <t>02.04.11.15.11</t>
  </si>
  <si>
    <t>TERMINAL DE PRESSÃO/COMPRESSÃO PARA CABO DE 6 ATÉ 10 MM²</t>
  </si>
  <si>
    <t>02.04.11.15.12</t>
  </si>
  <si>
    <t>TERMINAL DE PRESSÃO/COMPRESSÃO PARA CABO DE 16 MM²</t>
  </si>
  <si>
    <t>02.04.11.15.13</t>
  </si>
  <si>
    <t>TERMINAL DE PRESSÃO/COMPRESSÃO PARA CABO DE 25 MM²</t>
  </si>
  <si>
    <t>02.04.11.15.14</t>
  </si>
  <si>
    <t>02.04.11.15.15</t>
  </si>
  <si>
    <t>TERMINAL DE PRESSÃO/COMPRESSÃO PARA CABO DE 50 MM²</t>
  </si>
  <si>
    <t>02.04.11.15.16</t>
  </si>
  <si>
    <t>TERMINAL DE PRESSÃO/COMPRESSÃO PARA CABO DE 120 MM²</t>
  </si>
  <si>
    <t>02.04.11.15.17</t>
  </si>
  <si>
    <t>TERMINAL DE PRESSÃO/COMPRESSÃO PARA CABO DE 240 MM²</t>
  </si>
  <si>
    <t>02.05</t>
  </si>
  <si>
    <t>INSTALAÇÕES HIDRÁULICA - ÁGUAS PLUVIAIS, ÁGUA FRIA, ESGOTO, INCÊNDIO E GASES</t>
  </si>
  <si>
    <t>02.05.01</t>
  </si>
  <si>
    <t>ÁGUAS PLUVIAIS</t>
  </si>
  <si>
    <t>02.05.01.01</t>
  </si>
  <si>
    <t>TUBULAÇÕES</t>
  </si>
  <si>
    <t>02.05.01.01.01</t>
  </si>
  <si>
    <t>TUBO PVC, SÉRIE R, ÁGUA PLUVIAL, DN 75 MM, FORNECIDO E INSTALADO EM CONDUTORES VERTICAIS DE ÁGUAS PLUVIAIS. AF_12/2014</t>
  </si>
  <si>
    <t>02.05.01.01.02</t>
  </si>
  <si>
    <t>TUBO PVC, SÉRIE R, ÁGUA PLUVIAL, DN 100 MM, FORNECIDO E INSTALADO EM RAMAL DE ENCAMINHAMENTO. AF_12/2014</t>
  </si>
  <si>
    <t>02.05.01.01.03</t>
  </si>
  <si>
    <t>TUBO PVC, SÉRIE R, ÁGUA PLUVIAL, DN 150 MM, FORNECIDO E INSTALADO EM CONDUTORES VERTICAIS DE ÁGUAS PLUVIAIS. AF_12/2014</t>
  </si>
  <si>
    <t>02.05.01.01.04</t>
  </si>
  <si>
    <t>ANEL BORRACHA TUBO PVC 75MM</t>
  </si>
  <si>
    <t>02.05.01.01.05</t>
  </si>
  <si>
    <t>ANEL BORRACHA TUBO PVC 100MM</t>
  </si>
  <si>
    <t>02.05.01.01.06</t>
  </si>
  <si>
    <t>ANEL BORRACHA TUBO PVC 150MM</t>
  </si>
  <si>
    <t>02.05.01.01.07</t>
  </si>
  <si>
    <t>JOELHO 90 GRAUS, PVC, SERIE R, ÁGUA PLUVIAL, DN 75 MM, JUNTA ELÁSTICA, FORNECIDO E INSTALADO EM CONDUTORES VERTICAIS DE ÁGUAS PLUVIAIS. AF_12/2014</t>
  </si>
  <si>
    <t>02.05.01.01.08</t>
  </si>
  <si>
    <t>JOELHO 90 GRAUS, PVC, SERIE R, ÁGUA PLUVIAL, DN 100 MM, JUNTA ELÁSTICA, FORNECIDO E INSTALADO EM CONDUTORES VERTICAIS DE ÁGUAS PLUVIAIS. AF_12/2014</t>
  </si>
  <si>
    <t>02.05.01.01.09</t>
  </si>
  <si>
    <t>JOELHO 90 GRAUS, PVC, SERIE R, ÁGUA PLUVIAL, DN 150 MM, JUNTA ELÁSTICA, FORNECIDO E INSTALADO EM CONDUTORES VERTICAIS DE ÁGUAS PLUVIAIS. AF_12/2014</t>
  </si>
  <si>
    <t>02.05.01.01.10</t>
  </si>
  <si>
    <t>JOELHO 45 GRAUS, PVC, SERIE R, ÁGUA PLUVIAL, DN 75 MM, JUNTA ELÁSTICA, FORNECIDO E INSTALADO EM CONDUTORES VERTICAIS DE ÁGUAS PLUVIAIS. AF_12/2014</t>
  </si>
  <si>
    <t>02.05.01.01.11</t>
  </si>
  <si>
    <t>JOELHO 45 GRAUS, PVC, SERIE R, ÁGUA PLUVIAL, DN 100 MM, JUNTA ELÁSTICA, FORNECIDO E INSTALADO EM CONDUTORES VERTICAIS DE ÁGUAS PLUVIAIS. AF_12/2014</t>
  </si>
  <si>
    <t>02.05.01.01.12</t>
  </si>
  <si>
    <t>JOELHO 45 GRAUS, PVC, SERIE R, ÁGUA PLUVIAL, DN 150 MM, JUNTA ELÁSTICA, FORNECIDO E INSTALADO EM CONDUTORES VERTICAIS DE ÁGUAS PLUVIAIS. AF_12/2014</t>
  </si>
  <si>
    <t>02.05.01.01.13</t>
  </si>
  <si>
    <t>JUNÇÃO SIMPLES, PVC, SERIE R, ÁGUA PLUVIAL, DN 75 X 75 MM, JUNTA ELÁSTICA, FORNECIDO E INSTALADO EM CONDUTORES VERTICAIS DE ÁGUAS PLUVIAIS. AF_12/2014</t>
  </si>
  <si>
    <t>02.05.01.01.14</t>
  </si>
  <si>
    <t>JUNÇÃO SIMPLES, PVC, SERIE R, ÁGUA PLUVIAL, DN 100 X 75 MM, JUNTA ELÁSTICA, FORNECIDO E INSTALADO EM CONDUTORES VERTICAIS DE ÁGUAS PLUVIAIS. AF_12/2014</t>
  </si>
  <si>
    <t>02.05.01.01.15</t>
  </si>
  <si>
    <t>JUNÇÃO SIMPLES, PVC, SERIE R, ÁGUA PLUVIAL, DN 100 X 100 MM, JUNTA ELÁSTICA, FORNECIDO E INSTALADO EM CONDUTORES VERTICAIS DE ÁGUAS PLUVIAIS. AF_12/2014</t>
  </si>
  <si>
    <t>02.05.01.01.16</t>
  </si>
  <si>
    <t>JUNÇÃO SIMPLES, PVC, SERIE R, ÁGUA PLUVIAL, DN 150 X 100 MM, JUNTA ELÁSTICA, FORNECIDO E INSTALADO EM CONDUTORES VERTICAIS DE ÁGUAS PLUVIAIS. AF_12/2014</t>
  </si>
  <si>
    <t>02.05.01.01.17</t>
  </si>
  <si>
    <t>JUNÇÃO SIMPLES, PVC, SERIE R, ÁGUA PLUVIAL, DN 150 X 150 MM, JUNTA ELÁSTICA, FORNECIDO E INSTALADO EM CONDUTORES VERTICAIS DE ÁGUAS PLUVIAIS. AF_12/2014</t>
  </si>
  <si>
    <t>02.05.01.01.18</t>
  </si>
  <si>
    <t>TÊ, PVC, SERIE R, ÁGUA PLUVIAL, DN 75 X 75 MM, JUNTA ELÁSTICA, FORNECIDO E INSTALADO EM CONDUTORES VERTICAIS DE ÁGUAS PLUVIAIS. AF_12/2014</t>
  </si>
  <si>
    <t>02.05.01.01.19</t>
  </si>
  <si>
    <t>TÊ, PVC, SERIE R, ÁGUA PLUVIAL, DN 100 X 100 MM, JUNTA ELÁSTICA, FORNECIDO E INSTALADO EM CONDUTORES VERTICAIS DE ÁGUAS PLUVIAIS. AF_12/2014</t>
  </si>
  <si>
    <t>02.05.01.01.20</t>
  </si>
  <si>
    <t>LUVA SIMPLES, PVC, SERIE R, ÁGUA PLUVIAL, DN 75 MM, JUNTA ELÁSTICA, FORNECIDO E INSTALADO EM CONDUTORES VERTICAIS DE ÁGUAS PLUVIAIS. AF_12/2014</t>
  </si>
  <si>
    <t>02.05.01.01.21</t>
  </si>
  <si>
    <t>LUVA SIMPLES, PVC, SERIE R, ÁGUA PLUVIAL, DN 100 MM, JUNTA ELÁSTICA, FORNECIDO E INSTALADO EM CONDUTORES VERTICAIS DE ÁGUAS PLUVIAIS. AF_12/2014</t>
  </si>
  <si>
    <t>02.05.01.01.22</t>
  </si>
  <si>
    <t>LUVA SIMPLES, PVC, SÉRIE NORMAL, ESGOTO PREDIAL, DN 150 MM, JUNTA ELÁSTICA, FORNECIDO E INSTALADO EM SUBCOLETOR AÉREO DE ESGOTO SANITÁRIO. AF_12/2014</t>
  </si>
  <si>
    <t>02.05.01.01.23</t>
  </si>
  <si>
    <t>REDUÇÃO EXCÊNTRICA, PVC, SERIE R, ÁGUA PLUVIAL, DN 100 X 75 MM, JUNTA ELÁSTICA, FORNECIDO E INSTALADO EM CONDUTORES VERTICAIS DE ÁGUAS PLUVIAIS. AF_12/2014</t>
  </si>
  <si>
    <t>02.05.01.01.24</t>
  </si>
  <si>
    <t>REDUÇÃO EXCÊNTRICA, PVC, SERIE R, ÁGUA PLUVIAL, DN 150 X 100 MM, JUNTA ELÁSTICA, FORNECIDO E INSTALADO EM CONDUTORES VERTICAIS DE ÁGUAS PLUVIAIS. AF_12/2014</t>
  </si>
  <si>
    <t>02.05.01.01.25</t>
  </si>
  <si>
    <t>02.05.01.01.26</t>
  </si>
  <si>
    <t>CAP DE PVC RÍGIDO C/ ANÉIS P/ ESGOTO, DIÂM. =150MM</t>
  </si>
  <si>
    <t>02.05.01.02</t>
  </si>
  <si>
    <t>TUBOS E CONEXÕES - JUNTA ELÁSTICA INTEGRADA - JEI</t>
  </si>
  <si>
    <t>02.05.01.02.01</t>
  </si>
  <si>
    <t>TUBO DE PVC PARA REDE COLETORA DE ESGOTO DE PAREDE MACIÇA, DN 200 MM, JUNTA ELÁSTICA - FORNECIMENTO E ASSENTAMENTO. AF_01/2021</t>
  </si>
  <si>
    <t>02.05.01.02.02</t>
  </si>
  <si>
    <t>TUBO DE PVC PARA REDE COLETORA DE ESGOTO DE PAREDE MACIÇA, DN 250 MM, JUNTA ELÁSTICA, INSTALADO EM LOCAL COM NÍVEL ALTO DE INTERFERÊNCIAS - FORNECIMENTO E ASSENTAMENTO. AF_06/2015</t>
  </si>
  <si>
    <t>02.05.01.02.03</t>
  </si>
  <si>
    <t>TUBO DE PVC PARA REDE COLETORA DE ESGOTO DE PAREDE MACIÇA, DN 300 MM, JUNTA ELÁSTICA, INSTALADO EM LOCAL COM NÍVEL ALTO DE INTERFERÊNCIAS - FORNECIMENTO E ASSENTAMENTO. AF_06/2015</t>
  </si>
  <si>
    <t>02.05.01.02.04</t>
  </si>
  <si>
    <t>LUVA DE CORRER - JUNTA ELÁSTICA INTEGRADA - JEI - 200 MM</t>
  </si>
  <si>
    <t>02.05.01.02.05</t>
  </si>
  <si>
    <t>LUVA DE CORRER - JUNTA ELÁSTICA INTEGRADA - JEI - 250 MM</t>
  </si>
  <si>
    <t>02.05.01.02.06</t>
  </si>
  <si>
    <t>LUVA DE CORRER - JUNTA ELÁSTICA INTEGRADA - JEI - 300 MM</t>
  </si>
  <si>
    <t>02.05.01.02.07</t>
  </si>
  <si>
    <t>REDUÇÃO EXCÊNTRICA - PVC RÍGIDO - JUNTA ELÁSTICA INTEGRADA - JEI 200 X 150 MM</t>
  </si>
  <si>
    <t>02.05.01.03</t>
  </si>
  <si>
    <t>TUBOS E CONEXÕES - FERRO FUNDIDO - SME</t>
  </si>
  <si>
    <t>02.05.01.03.01</t>
  </si>
  <si>
    <t>JOELHO 87 FERRO FUNDIDO 100MM</t>
  </si>
  <si>
    <t>02.05.01.03.02</t>
  </si>
  <si>
    <t>JOELHO 45 FERRO FUNDIDO 150MM</t>
  </si>
  <si>
    <t>02.05.01.04</t>
  </si>
  <si>
    <t>ELEVATÓRIA DE ÁGUAS PLUVIAIS</t>
  </si>
  <si>
    <t>02.05.01.04.01</t>
  </si>
  <si>
    <t>TUBO, PPR, DN 110, CLASSE PN 25, INSTALADO EM PRUMADA DE ÁGUA  FORNECIMENTO E INSTALAÇÃO. AF_06/2015</t>
  </si>
  <si>
    <t>02.05.01.04.02</t>
  </si>
  <si>
    <t>JOELHO 90 GRAUS, PPR, DN 110 MM, CLASSE PN 25, INSTALADO EM PRUMADA DE ÁGUA  FORNECIMENTO E INSTALAÇÃO . AF_06/2015</t>
  </si>
  <si>
    <t>02.05.01.04.03</t>
  </si>
  <si>
    <t>UNIAO PVC SOLDAVEL 110MM</t>
  </si>
  <si>
    <t>02.05.01.04.04</t>
  </si>
  <si>
    <t>ANÉIS DE CONCRETO ARMADO Ø1.20M</t>
  </si>
  <si>
    <t>02.05.01.04.05</t>
  </si>
  <si>
    <t>CORRENTE</t>
  </si>
  <si>
    <t>02.05.01.04.06</t>
  </si>
  <si>
    <t>BÓIA FLYGHT</t>
  </si>
  <si>
    <t>02.05.01.04.07</t>
  </si>
  <si>
    <t>TAMPAO FERRO FUNDIDO Ø 60CM</t>
  </si>
  <si>
    <t>02.05.01.04.08</t>
  </si>
  <si>
    <t>BOMBA CENTRIFUGA SUBMERSA,PARA AGUAS SERVIDAS,DE 0,5CV,110/2 20V.FORNECIMENTO E COLOCACAO</t>
  </si>
  <si>
    <t>02.05.01.05</t>
  </si>
  <si>
    <t>GRELHAS E RALOS</t>
  </si>
  <si>
    <t>02.05.01.05.01</t>
  </si>
  <si>
    <t>GRELHA HEMISFÉRICA EM FERRO FUNDIDO DE 3"</t>
  </si>
  <si>
    <t>02.05.01.05.02</t>
  </si>
  <si>
    <t>GRELHA HEMISFÉRICA EM FERRO FUNDIDO DE 4"</t>
  </si>
  <si>
    <t>02.05.01.05.03</t>
  </si>
  <si>
    <t>GRELHA HEMISFÉRICA EM FERRO FUNDIDO DE 6"</t>
  </si>
  <si>
    <t>02.05.01.05.04</t>
  </si>
  <si>
    <t>GRELHA EM FERRO FUNDIDO COM CAIXILHO 20X20CM</t>
  </si>
  <si>
    <t>02.05.01.05.05</t>
  </si>
  <si>
    <t>TAMPÃO EM FERRO FUNDIDO DE 600 X 600 MM, CLASSE B 125 (RUPTURA &gt; 125 KN)</t>
  </si>
  <si>
    <t>02.05.01.05.06</t>
  </si>
  <si>
    <t>TAMPÃO EM FERRO FUNDIDO DE 800 X 800 MM, CLASSE B 125 (RUPTURA &gt; 125 KN)</t>
  </si>
  <si>
    <t>02.05.01.05.07</t>
  </si>
  <si>
    <t>FILTRO DE SEPARAÇÃO DE FOLHAS</t>
  </si>
  <si>
    <t>02.05.01.05.08</t>
  </si>
  <si>
    <t>GRELHA DE FERRO FUNDIDO PARA CANALETA LARG = 20CM, FORNECIMENTO E ASSENTAMENTO</t>
  </si>
  <si>
    <t>02.05.02</t>
  </si>
  <si>
    <t>ÁGUA FRIA</t>
  </si>
  <si>
    <t>02.05.02.01</t>
  </si>
  <si>
    <t>TUBOS E CONEXÕES - PVC RÍGIDO MARROM</t>
  </si>
  <si>
    <t>02.05.02.01.01</t>
  </si>
  <si>
    <t>TUBO, PVC, SOLDÁVEL, DN 25 MM, INSTALADO EM RESERVAÇÃO DE ÁGUA DE EDIFICAÇÃO QUE POSSUA RESERVATÓRIO DE FIBRA/FIBROCIMENTO FORNECIMENTO E INSTALAÇÃO. AF_06/2016</t>
  </si>
  <si>
    <t>02.05.02.01.02</t>
  </si>
  <si>
    <t>TUBO, PVC, SOLDÁVEL, DN 32 MM, INSTALADO EM RESERVAÇÃO DE ÁGUA DE EDIFICAÇÃO QUE POSSUA RESERVATÓRIO DE FIBRA/FIBROCIMENTO FORNECIMENTO E INSTALAÇÃO. AF_06/2016</t>
  </si>
  <si>
    <t>02.05.02.01.03</t>
  </si>
  <si>
    <t>TUBO, PVC, SOLDÁVEL, DN 40 MM, INSTALADO EM RESERVAÇÃO DE ÁGUA DE EDIFICAÇÃO QUE POSSUA RESERVATÓRIO DE FIBRA/FIBROCIMENTO FORNECIMENTO E INSTALAÇÃO. AF_06/2016</t>
  </si>
  <si>
    <t>02.05.02.01.04</t>
  </si>
  <si>
    <t>TUBO, PVC, SOLDÁVEL, DN 50 MM, INSTALADO EM RESERVAÇÃO DE ÁGUA DE EDIFICAÇÃO QUE POSSUA RESERVATÓRIO DE FIBRA/FIBROCIMENTO FORNECIMENTO E INSTALAÇÃO. AF_06/2016</t>
  </si>
  <si>
    <t>02.05.02.01.05</t>
  </si>
  <si>
    <t>TUBO, PVC, SOLDÁVEL, DN 60 MM, INSTALADO EM RESERVAÇÃO DE ÁGUA DE EDIFICAÇÃO QUE POSSUA RESERVATÓRIO DE FIBRA/FIBROCIMENTO FORNECIMENTO E INSTALAÇÃO. AF_06/2016</t>
  </si>
  <si>
    <t>02.05.02.01.06</t>
  </si>
  <si>
    <t>TUBO, PVC, SOLDÁVEL, DN 85 MM, INSTALADO EM RESERVAÇÃO DE ÁGUA DE EDIFICAÇÃO QUE POSSUA RESERVATÓRIO DE FIBRA/FIBROCIMENTO FORNECIMENTO E INSTALAÇÃO. AF_06/2016</t>
  </si>
  <si>
    <t>02.05.02.01.07</t>
  </si>
  <si>
    <t>JOELHO 90 GRAUS, PVC, SOLDÁVEL, DN 25MM, INSTALADO EM PRUMADA DE ÁGUA - FORNECIMENTO E INSTALAÇÃO. AF_12/2014</t>
  </si>
  <si>
    <t>02.05.02.01.08</t>
  </si>
  <si>
    <t>JOELHO 90 GRAUS, PVC, SOLDÁVEL, DN 32MM, INSTALADO EM RAMAL DE DISTRIBUIÇÃO DE ÁGUA - FORNECIMENTO E INSTALAÇÃO. AF_12/2014</t>
  </si>
  <si>
    <t>02.05.02.01.09</t>
  </si>
  <si>
    <t>JOELHO 90 GRAUS, PVC, SOLDÁVEL, DN 40MM, INSTALADO EM PRUMADA DE ÁGUA - FORNECIMENTO E INSTALAÇÃO. AF_12/2014</t>
  </si>
  <si>
    <t>02.05.02.01.10</t>
  </si>
  <si>
    <t>JOELHO 90 GRAUS, PVC, SOLDÁVEL, DN 50MM, INSTALADO EM PRUMADA DE ÁGUA - FORNECIMENTO E INSTALAÇÃO. AF_12/2014</t>
  </si>
  <si>
    <t>02.05.02.01.11</t>
  </si>
  <si>
    <t>JOELHO 90 GRAUS, PVC, SOLDÁVEL, DN 60MM, INSTALADO EM PRUMADA DE ÁGUA - FORNECIMENTO E INSTALAÇÃO. AF_12/2014</t>
  </si>
  <si>
    <t>02.05.02.01.12</t>
  </si>
  <si>
    <t>JOELHO 90 GRAUS, PVC, SOLDÁVEL, DN 85MM, INSTALADO EM PRUMADA DE ÁGUA - FORNECIMENTO E INSTALAÇÃO. AF_12/2014</t>
  </si>
  <si>
    <t>02.05.02.01.13</t>
  </si>
  <si>
    <t>JOELHO 90 GRAUS COM BUCHA DE LATÃO, PVC, SOLDÁVEL, DN 25MM, X 3/4 INSTALADO EM RAMAL OU SUB-RAMAL DE ÁGUA - FORNECIMENTO E INSTALAÇÃO. AF_12/2014</t>
  </si>
  <si>
    <t>02.05.02.01.14</t>
  </si>
  <si>
    <t>JOELHO DE REDUÇÃO 90º DE PVC RÍGIDO SOLDÁVEL, MARROM DIÂM = 25 X 20MM</t>
  </si>
  <si>
    <t>02.05.02.01.15</t>
  </si>
  <si>
    <t>TÊ DE REDUÇÃO, PVC, SOLDÁVEL, DN 25MM X 20MM, INSTALADO EM PRUMADA DE ÁGUA - FORNECIMENTO E INSTALAÇÃO. AF_12/2014</t>
  </si>
  <si>
    <t>02.05.02.01.16</t>
  </si>
  <si>
    <t>TE, PVC, SOLDÁVEL, DN 25MM, INSTALADO EM RAMAL DE DISTRIBUIÇÃO DE ÁGUA - FORNECIMENTO E INSTALAÇÃO. AF_12/2014</t>
  </si>
  <si>
    <t>02.05.02.01.17</t>
  </si>
  <si>
    <t>TE, PVC, SOLDÁVEL, DN 32MM, INSTALADO EM RAMAL DE DISTRIBUIÇÃO DE ÁGUA - FORNECIMENTO E INSTALAÇÃO. AF_12/2014</t>
  </si>
  <si>
    <t>02.05.02.01.18</t>
  </si>
  <si>
    <t>TE, PVC, SOLDÁVEL, DN 50MM, INSTALADO EM PRUMADA DE ÁGUA - FORNECIMENTO E INSTALAÇÃO. AF_12/2014</t>
  </si>
  <si>
    <t>02.05.02.01.19</t>
  </si>
  <si>
    <t>TE, PVC, SOLDÁVEL, DN 60MM, INSTALADO EM PRUMADA DE ÁGUA - FORNECIMENTO E INSTALAÇÃO. AF_12/2014</t>
  </si>
  <si>
    <t>02.05.02.01.20</t>
  </si>
  <si>
    <t>TE, PVC, SOLDÁVEL, DN 75MM, INSTALADO EM PRUMADA DE ÁGUA - FORNECIMENTO E INSTALAÇÃO. AF_12/2014</t>
  </si>
  <si>
    <t>02.05.02.01.21</t>
  </si>
  <si>
    <t>TÊ DE REDUÇÃO, PVC, SOLDÁVEL, DN 40 MM X 32 MM, INSTALADO EM RESERVAÇÃO DE ÁGUA DE EDIFICAÇÃO QUE POSSUA RESERVATÓRIO DE FIBRA/FIBROCIMENTO FORNECIMENTO E INSTALAÇÃO. AF_06/2016</t>
  </si>
  <si>
    <t>02.05.02.01.22</t>
  </si>
  <si>
    <t>TÊ DE REDUÇÃO, PVC, SOLDÁVEL, DN 40MM X 32MM, INSTALADO EM PRUMADA DE ÁGUA - FORNECIMENTO E INSTALAÇÃO. AF_12/2014</t>
  </si>
  <si>
    <t>02.05.02.01.23</t>
  </si>
  <si>
    <t>TÊ DE REDUÇÃO, PVC, SOLDÁVEL, DN 50MM X 25MM, INSTALADO EM PRUMADA DE ÁGUA - FORNECIMENTO E INSTALAÇÃO. AF_12/2014</t>
  </si>
  <si>
    <t>02.05.02.01.24</t>
  </si>
  <si>
    <t>TÊ DE REDUÇÃO, PVC, SOLDÁVEL, DN 50MM X 32MM, INSTALADO EM PRUMADA DE ÁGUA - FORNECIMENTO E INSTALAÇÃO. AF_12/2014</t>
  </si>
  <si>
    <t>02.05.02.01.25</t>
  </si>
  <si>
    <t>TÊ DE REDUÇÃO, PVC, SOLDÁVEL, DN 50MM X 40MM, INSTALADO EM PRUMADA DE ÁGUA - FORNECIMENTO E INSTALAÇÃO. AF_12/2014</t>
  </si>
  <si>
    <t>02.05.02.01.26</t>
  </si>
  <si>
    <t>TE DE REDUCAO 90 PVC SOLDAVEL 60 X 50MM</t>
  </si>
  <si>
    <t>02.05.02.01.27</t>
  </si>
  <si>
    <t>ADAPTADOR CURTO COM BOLSA E ROSCA PARA REGISTRO, PVC, SOLDÁVEL, DN 25MM X 3/4, INSTALADO EM RAMAL DE DISTRIBUIÇÃO DE ÁGUA - FORNECIMENTO E INSTALAÇÃO. AF_12/2014</t>
  </si>
  <si>
    <t>02.05.02.01.28</t>
  </si>
  <si>
    <t>ADAPTADOR CURTO COM BOLSA E ROSCA PARA REGISTRO, PVC, SOLDÁVEL, DN 32MM X 1, INSTALADO EM RAMAL OU SUB-RAMAL DE ÁGUA - FORNECIMENTO E INSTALAÇÃO. AF_12/2014</t>
  </si>
  <si>
    <t>02.05.02.01.29</t>
  </si>
  <si>
    <t>ADAPTADOR CURTO COM BOLSA E ROSCA PARA REGISTRO, PVC, SOLDÁVEL, DN 40MM X 1.1/2, INSTALADO EM PRUMADA DE ÁGUA - FORNECIMENTO E INSTALAÇÃO. AF_12/2014</t>
  </si>
  <si>
    <t>02.05.02.01.30</t>
  </si>
  <si>
    <t>ADAPTADOR CURTO COM BOLSA E ROSCA PARA REGISTRO, PVC, SOLDÁVEL, DN 50MM X 1.1/2, INSTALADO EM PRUMADA DE ÁGUA - FORNECIMENTO E INSTALAÇÃO. AF_12/2014</t>
  </si>
  <si>
    <t>02.05.02.01.31</t>
  </si>
  <si>
    <t>ADAPTADOR CURTO COM BOLSA E ROSCA PARA REGISTRO, PVC, SOLDÁVEL, DN 60 MM X 2 , INSTALADO EM RESERVAÇÃO DE ÁGUA DE EDIFICAÇÃO QUE POSSUA RESERVATÓRIO DE FIBRA/FIBROCIMENTO FORNECIMENTO E INSTALAÇÃO. AF_06/2016</t>
  </si>
  <si>
    <t>02.05.02.01.32</t>
  </si>
  <si>
    <t>ADAPTADOR COM FLANGES LIVRES, PVC, SOLDÁVEL LONGO, DN 32 MM X 1 , INSTALADO EM RESERVAÇÃO DE ÁGUA DE EDIFICAÇÃO QUE POSSUA RESERVATÓRIO DE FIBRA/FIBROCIMENTO FORNECIMENTO E INSTALAÇÃO. AF_06/2016</t>
  </si>
  <si>
    <t>02.05.02.01.33</t>
  </si>
  <si>
    <t>ADAPTADOR COM FLANGES LIVRES, PVC, SOLDÁVEL LONGO, DN 40 MM X 1 1/4 , INSTALADO EM RESERVAÇÃO DE ÁGUA DE EDIFICAÇÃO QUE POSSUA RESERVATÓRIO DE FIBRA/FIBROCIMENTO FORNECIMENTO E INSTALAÇÃO. AF_06/2016</t>
  </si>
  <si>
    <t>02.05.02.01.34</t>
  </si>
  <si>
    <t>ADAPTADOR COM FLANGES LIVRES, PVC, SOLDÁVEL LONGO, DN 50 MM X 1 1/2 , INSTALADO EM RESERVAÇÃO DE ÁGUA DE EDIFICAÇÃO QUE POSSUA RESERVATÓRIO DE FIBRA/FIBROCIMENTO FORNECIMENTO E INSTALAÇÃO. AF_06/2016</t>
  </si>
  <si>
    <t>02.05.02.01.35</t>
  </si>
  <si>
    <t>ADAPTADOR COM FLANGES LIVRES, PVC, SOLDÁVEL LONGO, DN 60 MM X 2 , INSTALADO EM RESERVAÇÃO DE ÁGUA DE EDIFICAÇÃO QUE POSSUA RESERVATÓRIO DE FIBRA/FIBROCIMENTO FORNECIMENTO E INSTALAÇÃO. AF_06/2016</t>
  </si>
  <si>
    <t>02.05.02.01.36</t>
  </si>
  <si>
    <t>ADAPTADOR COM FLANGES LIVRES, PVC, SOLDÁVEL LONGO, DN 85 MM X 3 , INSTALADO EM RESERVAÇÃO DE ÁGUA DE EDIFICAÇÃO QUE POSSUA RESERVATÓRIO DE FIBRA/FIBROCIMENTO FORNECIMENTO E INSTALAÇÃO. AF_06/2016</t>
  </si>
  <si>
    <t>02.05.02.01.37</t>
  </si>
  <si>
    <t>LUVA SOLDÁVEL E COM ROSCA, PVC, SOLDÁVEL, DN 25MM X 3/4, INSTALADO EM RAMAL OU SUB-RAMAL DE ÁGUA - FORNECIMENTO E INSTALAÇÃO. AF_12/2014</t>
  </si>
  <si>
    <t>02.05.02.01.38</t>
  </si>
  <si>
    <t>BUCHA DE REDUÇÃO, PPR, 32 X 25, CLASSE PN 25, INSTALADO EM PRUMADA DE ÁGUA  FORNECIMENTO E INSTALAÇÃO . AF_06/2015</t>
  </si>
  <si>
    <t>02.05.02.01.39</t>
  </si>
  <si>
    <t>ASSENTAMENTO DE TUBO DE PVC PARA REDE COLETORA DE ESGOTO DE PAREDE MACIÇA, DN 200 MM, JUNTA ELÁSTICA (NÃO INCLUI FORNECIMENTO). AF_01/2021</t>
  </si>
  <si>
    <t>02.05.02.01.40</t>
  </si>
  <si>
    <t>BUCHA DE REDUÇÃO LONGA DE PVC RÍGIDO SOLDÁVEL, MARROM, DIÂM = 40 X 25MM</t>
  </si>
  <si>
    <t>02.05.02.01.41</t>
  </si>
  <si>
    <t>BUCHA DE REDUÇÃO LONGA DE PVC RÍGIDO SOLDÁVEL, MARROM, DIÂM = 50 X 32MM</t>
  </si>
  <si>
    <t>02.05.02.01.42</t>
  </si>
  <si>
    <t>BUCHA DE REDUÇÃO LONGA DE PVC RÍGIDO SOLDÁVEL, MARROM, DIÂM = 60 X 40MM</t>
  </si>
  <si>
    <t>02.05.02.01.43</t>
  </si>
  <si>
    <t>UNIÃO, PVC, SOLDÁVEL, DN 40MM, INSTALADO EM PRUMADA DE ÁGUA - FORNECIMENTO E INSTALAÇÃO. AF_12/2014</t>
  </si>
  <si>
    <t>02.05.02.01.44</t>
  </si>
  <si>
    <t>UNIÃO, PVC, SOLDÁVEL, DN 50MM, INSTALADO EM PRUMADA DE ÁGUA - FORNECIMENTO E INSTALAÇÃO. AF_12/2014</t>
  </si>
  <si>
    <t>02.05.02.02</t>
  </si>
  <si>
    <t>TUBOS E CONEXÕES - COBRE</t>
  </si>
  <si>
    <t>02.05.02.02.01</t>
  </si>
  <si>
    <t>TUBO EM COBRE RÍGIDO, DN 28 MM, CLASSE A, SEM ISOLAMENTO, INSTALADO EM PRUMADA DE GÁS COMBUSTÍVEL - FORNECIMENTO E INSTALAÇÃO. AF_04/2022</t>
  </si>
  <si>
    <t>02.05.02.02.02</t>
  </si>
  <si>
    <t>TUBO EM COBRE RÍGIDO, DN 35 MM, CLASSE A, SEM ISOLAMENTO, INSTALADO EM PRUMADA DE GÁS COMBUSTÍVEL - FORNECIMENTO E INSTALAÇÃO. AF_04/2022</t>
  </si>
  <si>
    <t>02.05.02.02.03</t>
  </si>
  <si>
    <t>COTOVELO EM COBRE, DN 28 MM, 90 GRAUS, SEM ANEL DE SOLDA, INSTALADO EM PRUMADA DE HIDRÁULICA PREDIAL - FORNECIMENTO E INSTALAÇÃO. AF_04/2022</t>
  </si>
  <si>
    <t>02.05.02.02.04</t>
  </si>
  <si>
    <t>COTOVELO EM COBRE, DN 35 MM, 90 GRAUS, SEM ANEL DE SOLDA, INSTALADO EM PRUMADA DE HIDRÁULICA PREDIAL - FORNECIMENTO E INSTALAÇÃO. AF_04/2022</t>
  </si>
  <si>
    <t>02.05.02.02.05</t>
  </si>
  <si>
    <t>CURVA EM COBRE, DN 35 MM, 45 GRAUS, SEM ANEL DE SOLDA, BOLSA X BOLSA, INSTALADO EM PRUMADA DE HIDRÁULICA PREDIAL - FORNECIMENTO E INSTALAÇÃO. AF_04/2022</t>
  </si>
  <si>
    <t>02.05.02.02.06</t>
  </si>
  <si>
    <t>TE EM COBRE, DN 28 MM, SEM ANEL DE SOLDA, INSTALADO EM PRUMADA  FORNECIMENTO E INSTALAÇÃO. AF_12/2015</t>
  </si>
  <si>
    <t>02.05.02.02.07</t>
  </si>
  <si>
    <t>FORNECIMENTO E ASSENTAMENTO DE UNIÃO DE FERRO GALVANIZADO ASSENTO BRONZE DE 1 1/4"</t>
  </si>
  <si>
    <t>02.05.02.02.08</t>
  </si>
  <si>
    <t>FORNECIMENTO E ASSENTAMENTO DE UNIÃO DE FERRO GALVANIZADO ASSENTO BRONZE DE 1 1/2"</t>
  </si>
  <si>
    <t>02.05.02.02.09</t>
  </si>
  <si>
    <t>CONECTOR DE LATÃO, COBRE OU BRONZE, JUNTAS SOLDADAS, 28MM X 1"</t>
  </si>
  <si>
    <t>02.05.02.02.10</t>
  </si>
  <si>
    <t>CONECTOR DE LATÃO, COBRE OU BRONZE, JUNTAS SOLDADAS, 35MM X 1 1/4"</t>
  </si>
  <si>
    <t>02.05.02.03</t>
  </si>
  <si>
    <t>VÁLVULAS E REGISTROS</t>
  </si>
  <si>
    <t>02.05.02.03.01</t>
  </si>
  <si>
    <t>KIT CAVALETE PARA MEDIÇÃO DE ÁGUA - ENTRADA PRINCIPAL, EM AÇO GALVANIZADO DN 25 (1 ) FORNECIMENTO E INSTALAÇÃO (EXCLUSIVE HIDRÔMETRO). AF_11/2016</t>
  </si>
  <si>
    <t>02.05.02.03.02</t>
  </si>
  <si>
    <t>02.05.02.03.03</t>
  </si>
  <si>
    <t>REGISTRO DE GAVETA BRUTO, LATÃO, ROSCÁVEL, 1", COM ACABAMENTO E CANOPLA CROMADOS - FORNECIMENTO E INSTALAÇÃO. AF_08/2021</t>
  </si>
  <si>
    <t>02.05.02.03.04</t>
  </si>
  <si>
    <t>02.05.02.03.05</t>
  </si>
  <si>
    <t>TORNEIRA DE BÓIA P/CAIXA D'AGUA D= 3/4" (DECA OU SIMILAR)</t>
  </si>
  <si>
    <t>02.05.02.03.06</t>
  </si>
  <si>
    <t>VÁLVULA DE ESFERA BRUTA, BRONZE, ROSCÁVEL, 3/4'' - FORNECIMENTO E INSTALAÇÃO. AF_08/2021</t>
  </si>
  <si>
    <t>02.05.02.03.07</t>
  </si>
  <si>
    <t>VÁLVULA DE ESFERA BRUTA, BRONZE, ROSCÁVEL, 1'' - FORNECIMENTO E INSTALAÇÃO. AF_08/2021</t>
  </si>
  <si>
    <t>02.05.02.03.08</t>
  </si>
  <si>
    <t>VÁLVULA DE ESFERA BRUTA, BRONZE, ROSCÁVEL, 1 1/4'' - FORNECIMENTO E INSTALAÇÃO. AF_08/2021</t>
  </si>
  <si>
    <t>02.05.02.03.09</t>
  </si>
  <si>
    <t>VÁLVULA DE ESFERA BRUTA, BRONZE, ROSCÁVEL, 1 1/2'' - FORNECIMENTO E INSTALAÇÃO. AF_08/2021</t>
  </si>
  <si>
    <t>02.05.02.03.10</t>
  </si>
  <si>
    <t>VÁLVULA DE ESFERA BRUTA, BRONZE, ROSCÁVEL, 2'' - FORNECIMENTO E INSTALAÇÃO. AF_08/2021</t>
  </si>
  <si>
    <t>02.05.02.03.11</t>
  </si>
  <si>
    <t>ÁLVULA DE ESFERA BRUTA, BRONZE, ROSCÁVEL, 3'', INSTALADO EM RESERVAÇÃO DE ÁGUA DE EDIFICAÇÃO QUE POSSUA RESERVATÓRIO DE FIBRA/FIBROCIMENTO - FORNECIMENTO E INSTALAÇÃO. AF_06/2016</t>
  </si>
  <si>
    <t>02.05.02.03.12</t>
  </si>
  <si>
    <t>VÁLVULA DE RETENÇÃO HORIZONTAL, DE BRONZE, ROSCÁVEL, 1 1/2" - FORNECIMENTO E INSTALAÇÃO. AF_08/2021</t>
  </si>
  <si>
    <t>02.05.02.03.13</t>
  </si>
  <si>
    <t>VÁLVULA DE RETENÇÃO, DE BRONZE, PÉ COM CRIVOS, ROSCÁVEL, 1 1/4" - FORNECIMENTO E INSTALAÇÃO. AF_08/2021</t>
  </si>
  <si>
    <t>02.05.02.04</t>
  </si>
  <si>
    <t>02.05.02.04.01</t>
  </si>
  <si>
    <t>FLEXÍVEL PARA LAVATÓRIO - 1/2"</t>
  </si>
  <si>
    <t>02.05.02.04.02</t>
  </si>
  <si>
    <t>FLEXÍVEL PARA PIA - 1/2"</t>
  </si>
  <si>
    <t>02.05.02.04.03</t>
  </si>
  <si>
    <t>FLEXÍVEL PARA TANQUE - 1/2"</t>
  </si>
  <si>
    <t>02.05.02.04.04</t>
  </si>
  <si>
    <t>FLEXÍVEL PARA BACIA COM CAIXA ACOPLADA - 1/2"</t>
  </si>
  <si>
    <t>02.05.02.04.05</t>
  </si>
  <si>
    <t>FLEXÍVEL PARA FILTRO (BEBEDOURO) - 1/2"</t>
  </si>
  <si>
    <t>02.05.02.04.06</t>
  </si>
  <si>
    <t>TORNEIRA CROMADA PARA TANQUE/JARDIM, 1/2", REF.1153 C39, DECA OU SIMILAR</t>
  </si>
  <si>
    <t>02.05.02.04.07</t>
  </si>
  <si>
    <t>TORNEIRA DE ESFERA 3/4"</t>
  </si>
  <si>
    <t>02.05.02.04.08</t>
  </si>
  <si>
    <t>NIPLE, EM FERRO GALVANIZADO, CONEXÃO ROSQUEADA, DN 15 (1/2"), INSTALADO EM RAMAIS E SUB-RAMAIS DE GÁS - FORNECIMENTO E INSTALAÇÃO. AF_10/2020</t>
  </si>
  <si>
    <t>02.05.02.05</t>
  </si>
  <si>
    <t>BOMBAS</t>
  </si>
  <si>
    <t>02.05.02.05.01</t>
  </si>
  <si>
    <t>BOMBA CENTRÍFUGA HORIZONTAL - MOD. C750 N, VAZÃO 4,30M³/ H, POTÊNCIA 0,75CV, MOTOR TRIFÁSICO 380V, ROTAÇÃO 3450RPM, AMT 20,0MCA, FABRICANTE KSB.</t>
  </si>
  <si>
    <t>02.05.02.05.02</t>
  </si>
  <si>
    <t>CONJUNTO COMPLETO DE PRESSURIZAÇÃO COMPLETO - MOD. MAX PRESS 30 E, VAZÃO CAL 5,0M³/ H, PRESSÃO CAL 20MCA, POTÊNCIA 0,85CV, MOTOR TRIFÁSICO 220V, FABRICANTE ROWA.</t>
  </si>
  <si>
    <t>02.05.02.05.03</t>
  </si>
  <si>
    <t>BASE INERCIA - FABRICANTE VIBRA-STOP B.I.2 - (DIM. 1,50X0,50)M MSCC 100 - UNC 3/8"</t>
  </si>
  <si>
    <t>02.05.02.05.04</t>
  </si>
  <si>
    <t>BASE INERCIA - FABRICANTE VIBRA-STOP (DIM. 1,00X1,00)M - MSCC 200 - UNC 3/8"</t>
  </si>
  <si>
    <t>02.05.02.06</t>
  </si>
  <si>
    <t>RESERVATÓRIOS</t>
  </si>
  <si>
    <t>02.05.02.06.01</t>
  </si>
  <si>
    <t>CAIXA D´ÁGUA EM POLIÉSTER REFORÇADO COM FIBRA DE VIDRO, 1000 LITROS - FORNECIMENTO E INSTALAÇÃO. AF_06/2021</t>
  </si>
  <si>
    <t>02.05.02.06.02</t>
  </si>
  <si>
    <t>CAIXA D´ÁGUA EM POLIÉSTER REFORÇADO COM FIBRA DE VIDRO, 5000 LITROS - FORNECIMENTO E INSTALAÇÃO. AF_06/2021</t>
  </si>
  <si>
    <t>02.05.03</t>
  </si>
  <si>
    <t>ESGOTO SANITÁRIO</t>
  </si>
  <si>
    <t>02.05.03.01</t>
  </si>
  <si>
    <t>TUBOS E CONEXÕES - PVC RÍGIDO SÉRIE NORMAL</t>
  </si>
  <si>
    <t>02.05.03.01.01</t>
  </si>
  <si>
    <t>TUBO PVC, SERIE NORMAL, ESGOTO PREDIAL, DN 40 MM, FORNECIDO E INSTALADO EM RAMAL DE DESCARGA OU RAMAL DE ESGOTO SANITÁRIO. AF_12/2014</t>
  </si>
  <si>
    <t>02.05.03.01.02</t>
  </si>
  <si>
    <t>TUBO PVC, SERIE NORMAL, ESGOTO PREDIAL, DN 50 MM, FORNECIDO E INSTALADO EM RAMAL DE DESCARGA OU RAMAL DE ESGOTO SANITÁRIO. AF_12/2014</t>
  </si>
  <si>
    <t>02.05.03.01.03</t>
  </si>
  <si>
    <t>TUBO PVC, SERIE NORMAL, ESGOTO PREDIAL, DN 75 MM, FORNECIDO E INSTALADO EM RAMAL DE DESCARGA OU RAMAL DE ESGOTO SANITÁRIO. AF_12/2014</t>
  </si>
  <si>
    <t>02.05.03.01.04</t>
  </si>
  <si>
    <t>TUBO PVC, SERIE NORMAL, ESGOTO PREDIAL, DN 100 MM, FORNECIDO E INSTALADO EM RAMAL DE DESCARGA OU RAMAL DE ESGOTO SANITÁRIO. AF_12/2014</t>
  </si>
  <si>
    <t>02.05.03.01.05</t>
  </si>
  <si>
    <t>ANEL BORRACHA TUBO PVC 50MM</t>
  </si>
  <si>
    <t>02.05.03.01.06</t>
  </si>
  <si>
    <t>ANEL BORRACHA PARA PVC 50MM</t>
  </si>
  <si>
    <t>02.05.03.01.07</t>
  </si>
  <si>
    <t>02.05.03.01.08</t>
  </si>
  <si>
    <t>02.05.03.01.09</t>
  </si>
  <si>
    <t>JOELHO DE REDUÇÃO 90º DE PVC RÍGIDO SOLDÁVEL, MARROM DIÂM = 40 X 32MM</t>
  </si>
  <si>
    <t>02.05.03.01.10</t>
  </si>
  <si>
    <t>JOELHO 90 GRAUS, PVC, SERIE NORMAL, ESGOTO PREDIAL, DN 40 MM, JUNTA SOLDÁVEL, FORNECIDO E INSTALADO EM RAMAL DE DESCARGA OU RAMAL DE ESGOTO SANITÁRIO. AF_12/2014</t>
  </si>
  <si>
    <t>02.05.03.01.11</t>
  </si>
  <si>
    <t>JOELHO 90 GRAUS, PVC, SERIE NORMAL, ESGOTO PREDIAL, DN 50 MM, JUNTA ELÁSTICA, FORNECIDO E INSTALADO EM RAMAL DE DESCARGA OU RAMAL DE ESGOTO SANITÁRIO. AF_12/2014</t>
  </si>
  <si>
    <t>02.05.03.01.12</t>
  </si>
  <si>
    <t>JOELHO 90 GRAUS, PVC, SERIE NORMAL, ESGOTO PREDIAL, DN 100 MM, JUNTA ELÁSTICA, FORNECIDO E INSTALADO EM RAMAL DE DESCARGA OU RAMAL DE ESGOTO SANITÁRIO. AF_12/2014</t>
  </si>
  <si>
    <t>02.05.03.01.13</t>
  </si>
  <si>
    <t>JOELHO 45 GRAUS, PVC, SERIE NORMAL, ESGOTO PREDIAL, DN 40 MM, JUNTA SOLDÁVEL, FORNECIDO E INSTALADO EM RAMAL DE DESCARGA OU RAMAL DE ESGOTO SANITÁRIO. AF_12/2014</t>
  </si>
  <si>
    <t>02.05.03.01.14</t>
  </si>
  <si>
    <t>JOELHO 45 GRAUS, PVC, SERIE NORMAL, ESGOTO PREDIAL, DN 50 MM, JUNTA ELÁSTICA, FORNECIDO E INSTALADO EM RAMAL DE DESCARGA OU RAMAL DE ESGOTO SANITÁRIO. AF_12/2014</t>
  </si>
  <si>
    <t>02.05.03.01.15</t>
  </si>
  <si>
    <t>JOELHO 45 GRAUS, PVC, SERIE NORMAL, ESGOTO PREDIAL, DN 75 MM, JUNTA ELÁSTICA, FORNECIDO E INSTALADO EM RAMAL DE DESCARGA OU RAMAL DE ESGOTO SANITÁRIO. AF_12/2014</t>
  </si>
  <si>
    <t>02.05.03.01.16</t>
  </si>
  <si>
    <t>JOELHO 45 GRAUS, PVC, SERIE NORMAL, ESGOTO PREDIAL, DN 100 MM, JUNTA ELÁSTICA, FORNECIDO E INSTALADO EM PRUMADA DE ESGOTO SANITÁRIO OU VENTILAÇÃO. AF_12/2014</t>
  </si>
  <si>
    <t>02.05.03.01.17</t>
  </si>
  <si>
    <t>JUNÇÃO SIMPLES, PVC, SERIE R, ÁGUA PLUVIAL, DN 40 MM, JUNTA SOLDÁVEL, FORNECIDO E INSTALADO EM RAMAL DE ENCAMINHAMENTO. AF_12/2014</t>
  </si>
  <si>
    <t>02.05.03.01.18</t>
  </si>
  <si>
    <t>JUNÇÃO SIMPLES, PVC, SERIE NORMAL, ESGOTO PREDIAL, DN 50 X 50 MM, JUNTA ELÁSTICA, FORNECIDO E INSTALADO EM RAMAL DE DESCARGA OU RAMAL DE ESGOTO SANITÁRIO. AF_12/2014</t>
  </si>
  <si>
    <t>02.05.03.01.19</t>
  </si>
  <si>
    <t>02.05.03.01.20</t>
  </si>
  <si>
    <t>02.05.03.01.21</t>
  </si>
  <si>
    <t>JUNÇÃO SIMPLES EM PVC RÍGIDO SOLDÁVEL, PARA ESGOTO PRIMÁRIO, DIÂM = 75 X 50MM</t>
  </si>
  <si>
    <t>02.05.03.01.22</t>
  </si>
  <si>
    <t>JUNÇÃO SIMPLES EM PVC RÍGIDO SOLDÁVEL, PARA ESGOTO PRIMÁRIO, DIÂM = 100 X 50MM</t>
  </si>
  <si>
    <t>02.05.03.01.23</t>
  </si>
  <si>
    <t>JUNÇÃO SIMPLES EM PVC RÍGIDO SOLDÁVEL, PARA ESGOTO PRIMÁRIO, DIÂM = 100 X 75MM</t>
  </si>
  <si>
    <t>02.05.03.01.24</t>
  </si>
  <si>
    <t>TE, PVC, SERIE NORMAL, ESGOTO PREDIAL, DN 40 X 40 MM, JUNTA SOLDÁVEL, FORNECIDO E INSTALADO EM RAMAL DE DESCARGA OU RAMAL DE ESGOTO SANITÁRIO. AF_12/2014</t>
  </si>
  <si>
    <t>02.05.03.01.25</t>
  </si>
  <si>
    <t>TE, PVC, SERIE NORMAL, ESGOTO PREDIAL, DN 50 X 50 MM, JUNTA ELÁSTICA, FORNECIDO E INSTALADO EM RAMAL DE DESCARGA OU RAMAL DE ESGOTO SANITÁRIO. AF_12/2014</t>
  </si>
  <si>
    <t>02.05.03.01.26</t>
  </si>
  <si>
    <t>TÊ DE REDUÇÃO, PVC, SOLDÁVEL, DN 75 MM X 50 MM, INSTALADO EM RESERVAÇÃO DE ÁGUA DE EDIFICAÇÃO QUE POSSUA RESERVATÓRIO DE FIBRA/FIBROCIMENTO FORNECIMENTO E INSTALAÇÃO. AF_06/2016</t>
  </si>
  <si>
    <t>02.05.03.01.27</t>
  </si>
  <si>
    <t>TÊ DE REDUÇÃO, PVC, SOLDÁVEL, DN 110 MM X 60 MM, INSTALADO EM RESERVAÇÃO DE ÁGUA DE EDIFICAÇÃO QUE POSSUA RESERVATÓRIO DE FIBRA/FIBROCIMENTO FORNECIMENTO E INSTALAÇÃO. AF_06/2016</t>
  </si>
  <si>
    <t>02.05.03.01.28</t>
  </si>
  <si>
    <t>LUVA SIMPLES, PVC, SERIE NORMAL, ESGOTO PREDIAL, DN 50 MM, JUNTA ELÁSTICA, FORNECIDO E INSTALADO EM RAMAL DE DESCARGA OU RAMAL DE ESGOTO SANITÁRIO. AF_12/2014</t>
  </si>
  <si>
    <t>02.05.03.01.29</t>
  </si>
  <si>
    <t>LUVA SIMPLES, PVC, SERIE NORMAL, ESGOTO PREDIAL, DN 75 MM, JUNTA ELÁSTICA, FORNECIDO E INSTALADO EM RAMAL DE DESCARGA OU RAMAL DE ESGOTO SANITÁRIO. AF_12/2014</t>
  </si>
  <si>
    <t>02.05.03.01.30</t>
  </si>
  <si>
    <t>LUVA SIMPLES, PVC, SERIE NORMAL, ESGOTO PREDIAL, DN 100 MM, JUNTA ELÁSTICA, FORNECIDO E INSTALADO EM SUBCOLETOR AÉREO DE ESGOTO SANITÁRIO. AF_12/2014</t>
  </si>
  <si>
    <t>02.05.03.01.31</t>
  </si>
  <si>
    <t>LUVA DE CORRER EM PVC RÍGIDO SOLDÁVEL, PARA ESGOTO SECUNDÁRIO, DIÂM = 40MM</t>
  </si>
  <si>
    <t>02.05.03.01.32</t>
  </si>
  <si>
    <t>REDUÇÃO EXCENTRICA EM PVC RÍGIDO SOLDÁVEL, PARA ESGOTO PRIMÁRIO, DIÂM = 75 X 50MM</t>
  </si>
  <si>
    <t>02.05.03.01.33</t>
  </si>
  <si>
    <t>REDUÇÃO EXCENTRICA EM PVC RÍGIDO SOLDÁVEL, PARA ESGOTO PRIMÁRIO, DIÂM = 100 X 50MM</t>
  </si>
  <si>
    <t>02.05.03.01.34</t>
  </si>
  <si>
    <t>REDUÇÃO EXCENTRICA EM PVC RÍGIDO SOLDÁVEL, PARA ESGOTO PRIMÁRIO, DIÂM = 100 X 75MM</t>
  </si>
  <si>
    <t>02.05.03.02</t>
  </si>
  <si>
    <t>PVC RÍGIDO MARROM</t>
  </si>
  <si>
    <t>02.05.03.02.01</t>
  </si>
  <si>
    <t>TUBO, PVC, SOLDÁVEL, DN 25MM, INSTALADO EM RAMAL DE DISTRIBUIÇÃO DE ÁGUA - FORNECIMENTO E INSTALAÇÃO. AF_12/2014</t>
  </si>
  <si>
    <t>02.05.03.02.02</t>
  </si>
  <si>
    <t>BUCHA DE REDUÇÃO, PPR, 40 X 25, CLASSE PN 25, INSTALADO EM RAMAL DE DISTRIBUIÇÃO DE ÁGUA  FORNECIMENTO E INSTALAÇÃO . AF_06/2015</t>
  </si>
  <si>
    <t>02.05.03.02.03</t>
  </si>
  <si>
    <t>LUVA COM BUCHA DE LATÃO, PVC, SOLDÁVEL, DN 25MM X 3/4, INSTALADO EM PRUMADA DE ÁGUA - FORNECIMENTO E INSTALAÇÃO. AF_12/2014</t>
  </si>
  <si>
    <t>02.05.03.03</t>
  </si>
  <si>
    <t>ISOLANTE TÉRMICO (AR CONDICIONADO)</t>
  </si>
  <si>
    <t>02.05.03.03.01</t>
  </si>
  <si>
    <t>BORRACHA ELASTOMÉRICA - ESP: 9MM 1.1/4" (9X42)</t>
  </si>
  <si>
    <t>PÇ</t>
  </si>
  <si>
    <t>02.05.03.04</t>
  </si>
  <si>
    <t>TUBOS E CONEXÕES - FERRO FUNDIDO</t>
  </si>
  <si>
    <t>02.05.03.04.01</t>
  </si>
  <si>
    <t>JOELHO 87° 30´ EM FERRO FUNDIDO, LINHA PREDIAL TRADICIONAL, DN= 50 MM</t>
  </si>
  <si>
    <t>02.05.03.04.02</t>
  </si>
  <si>
    <t>JOELHO 87° 30´ EM FERRO FUNDIDO, LINHA PREDIAL TRADICIONAL, DN= 100 MM</t>
  </si>
  <si>
    <t>02.05.03.05</t>
  </si>
  <si>
    <t>02.05.03.05.01</t>
  </si>
  <si>
    <t>SIFÃO DO TIPO GARRAFA EM METAL CROMADO 1 X 1.1/2 - FORNECIMENTO E INSTALAÇÃO. AF_01/2020</t>
  </si>
  <si>
    <t>02.05.03.05.02</t>
  </si>
  <si>
    <t>FORNECIMENTO E INSTALAÇÃO DE SIFÃO CROMADO PARA PIA</t>
  </si>
  <si>
    <t>02.05.03.05.03</t>
  </si>
  <si>
    <t>SIFÃO EM PVC PARA TANQUE 2"</t>
  </si>
  <si>
    <t>UND</t>
  </si>
  <si>
    <t>02.05.03.05.04</t>
  </si>
  <si>
    <t>VEDAÇÃO PARA SAÍDA DE VASO SANITÁRIO EM PVC RÍGIDO SOLDÁVEL, PARA ESGOTO PRIMÁRIO, DIÂM = 100MM</t>
  </si>
  <si>
    <t>02.05.03.05.05</t>
  </si>
  <si>
    <t>TERMINAL DE VENTILAÇÃO EM PVC RÍGIDO SOLDÁVEL, PARA ESGOTO PRIMÁRIO, DIÂM = 50MM</t>
  </si>
  <si>
    <t>02.05.03.06</t>
  </si>
  <si>
    <t>02.05.03.06.01</t>
  </si>
  <si>
    <t>CAIXA SIFONADA PVC 100X150X50MM</t>
  </si>
  <si>
    <t>02.05.03.06.02</t>
  </si>
  <si>
    <t>CAIXA SIFONADA, PVC, DN 150 X 185 X 75 MM, JUNTA ELÁSTICA, FORNECIDA E INSTALADA EM RAMAL DE DESCARGA OU EM RAMAL DE ESGOTO SANITÁRIO. AF_12/2014</t>
  </si>
  <si>
    <t>02.05.03.06.03</t>
  </si>
  <si>
    <t>02.05.03.07</t>
  </si>
  <si>
    <t>02.05.03.07.01</t>
  </si>
  <si>
    <t>02.05.03.07.02</t>
  </si>
  <si>
    <t>02.05.03.07.03</t>
  </si>
  <si>
    <t>02.05.03.07.04</t>
  </si>
  <si>
    <t>02.05.03.07.05</t>
  </si>
  <si>
    <t>02.05.03.07.06</t>
  </si>
  <si>
    <t>02.05.03.07.07</t>
  </si>
  <si>
    <t>02.05.03.07.08</t>
  </si>
  <si>
    <t>FORMA EM MADEIRA COMUM PARA FUNDAÇÃO</t>
  </si>
  <si>
    <t>02.05.03.07.09</t>
  </si>
  <si>
    <t>02.05.03.07.10</t>
  </si>
  <si>
    <t>02.05.03.07.11</t>
  </si>
  <si>
    <t>02.05.03.07.12</t>
  </si>
  <si>
    <t>02.05.04</t>
  </si>
  <si>
    <t>INCÊNDIO</t>
  </si>
  <si>
    <t>02.05.04.01</t>
  </si>
  <si>
    <t>TUBOS E CONEXÕES - AÇO GALVANIZADO</t>
  </si>
  <si>
    <t>02.05.04.01.01</t>
  </si>
  <si>
    <t>TUBO DE AÇO GALVANIZADO COM COSTURA, CLASSE MÉDIA, CONEXÃO RANHURADA, DN 65 (2 1/2"), INSTALADO EM PRUMADAS - FORNECIMENTO E INSTALAÇÃO. AF_10/2020</t>
  </si>
  <si>
    <t>02.05.04.01.02</t>
  </si>
  <si>
    <t>TUBO DE AÇO GALVANIZADO COM COSTURA, CLASSE MÉDIA, CONEXÃO RANHURADA, DN 80 (3"), INSTALADO EM PRUMADAS - FORNECIMENTO E INSTALAÇÃO. AF_10/2020</t>
  </si>
  <si>
    <t>02.05.04.01.03</t>
  </si>
  <si>
    <t>COTOVELO 90 GRAUS, EM FERRO GALVANIZADO, CONEXÃO ROSQUEADA, DN 65 (2 1/2), INSTALADO EM RESERVAÇÃO DE ÁGUA DE EDIFICAÇÃO QUE POSSUA RESERVATÓRIO DE FIBRA/FIBROCIMENTO  FORNECIMENTO E INSTALAÇÃO. AF_06/2016</t>
  </si>
  <si>
    <t>02.05.04.01.04</t>
  </si>
  <si>
    <t>COTOVELO 90 GRAUS, EM FERRO GALVANIZADO, CONEXÃO ROSQUEADA, DN 80 (3), INSTALADO EM RESERVAÇÃO DE ÁGUA DE EDIFICAÇÃO QUE POSSUA RESERVATÓRIO DE FIBRA/FIBROCIMENTO  FORNECIMENTO E INSTALAÇÃO. AF_06/2016</t>
  </si>
  <si>
    <t>02.05.04.01.05</t>
  </si>
  <si>
    <t>TE 90 FERRO GALVANIZADO DIAM. 2.1/2""</t>
  </si>
  <si>
    <t>02.05.04.01.06</t>
  </si>
  <si>
    <t>TE 90 FERRO GALVANIZADO DIAM. 3""</t>
  </si>
  <si>
    <t>02.05.04.01.07</t>
  </si>
  <si>
    <t>FORNECIMENTO E ASSENTAMENTO DE TE DE REDUÇÃO DE FERRO GALVANIZADO DE 3" X 2 1/2"</t>
  </si>
  <si>
    <t>02.05.04.01.08</t>
  </si>
  <si>
    <t>NIPLE DUPLO GALVANIZADO 2.1/2""</t>
  </si>
  <si>
    <t>02.05.04.01.09</t>
  </si>
  <si>
    <t>NIPLE DUPLO GALVANIZADO 3""</t>
  </si>
  <si>
    <t>02.05.04.01.10</t>
  </si>
  <si>
    <t>FORNECIMENTO E ASSENTAMENTO DE UNIÃO DE FERRO GALVANIZADO ASSENTO BRONZE DE 2 1/2"</t>
  </si>
  <si>
    <t>02.05.04.01.11</t>
  </si>
  <si>
    <t>FORNECIMENTO E ASSENTAMENTO DE UNIÃO DE FERRO GALVANIZADO ASSENTO BRONZE DE 3"</t>
  </si>
  <si>
    <t>02.05.04.02</t>
  </si>
  <si>
    <t>02.05.04.02.01</t>
  </si>
  <si>
    <t>VÁLVULA DE RETENÇÃO HORIZONTAL, DE BRONZE, ROSCÁVEL, 2 1/2" - FORNECIMENTO E INSTALAÇÃO. AF_08/2021</t>
  </si>
  <si>
    <t>02.05.04.02.02</t>
  </si>
  <si>
    <t>VÁLVULA DE RETENÇÃO HORIZONTAL, DE BRONZE, ROSCÁVEL, 3" - FORNECIMENTO E INSTALAÇÃO. AF_08/2021</t>
  </si>
  <si>
    <t>02.05.04.02.03</t>
  </si>
  <si>
    <t>VÁLVULA DE RETENÇÃO, DE BRONZE, PÉ COM CRIVOS, ROSCÁVEL, 3" - FORNECIMENTO E INSTALAÇÃO. AF_08/2021</t>
  </si>
  <si>
    <t>02.05.04.02.04</t>
  </si>
  <si>
    <t>REGISTRO DE GAVETA BRUTO, LATÃO, ROSCÁVEL, 2 1/2" - FORNECIMENTO E INSTALAÇÃO. AF_08/2021</t>
  </si>
  <si>
    <t>02.05.04.02.05</t>
  </si>
  <si>
    <t>REGISTRO DE GAVETA BRUTO, LATÃO, ROSCÁVEL, 3" - FORNECIMENTO E INSTALAÇÃO. AF_08/2021</t>
  </si>
  <si>
    <t>02.05.04.03</t>
  </si>
  <si>
    <t>HIDRANTES</t>
  </si>
  <si>
    <t>02.05.04.03.01</t>
  </si>
  <si>
    <t>ABRIGO PARA HIDRANTE, 90X60X17CM EMBUTIR, COM REGISTRO GLOBO ANGULAR 45 GRAUS 2 1/2", ADAPTADOR STORZ 2 1/2", MANGUEIRA DE INCÊNDIO 30M, REDUÇÃO 2 1/2" X 1 1/2" E ESGUICHO EM LATÃO 1 1/2" - FORNECIMENTO E INSTALAÇÃO. AF_10/2020</t>
  </si>
  <si>
    <t>02.05.04.03.02</t>
  </si>
  <si>
    <t>ABRIGO PARA HIDRANTE, 90X60X17CM SOBREPOR, COM REGISTRO GLOBO ANGULAR 45 GRAUS 2 1/2", ADAPTADOR STORZ 2 1/2", MANGUEIRA DE INCÊNDIO 30M, REDUÇÃO 2 1/2" X 1 1/2" E ESGUICHO EM LATÃO 1 1/2" - FORNECIMENTO E INSTALAÇÃO. AF_10/2020</t>
  </si>
  <si>
    <t>02.05.04.04</t>
  </si>
  <si>
    <t>REGISTRO DE RECALQUE</t>
  </si>
  <si>
    <t>02.05.04.04.01</t>
  </si>
  <si>
    <t>TAMPÃO DE ENGATE RÁPIDO EM LATÃO, DN= 2 1/2´, COM CORRENTE</t>
  </si>
  <si>
    <t>02.05.04.04.02</t>
  </si>
  <si>
    <t>REGISTRO OU VÁLVULA GLOBO ANGULAR EM LATÃO, PARA HIDRANTES EM INSTALAÇÃO PREDIAL DE INCÊNDIO, 45 GRAUS, 2 1/2" - FORNECIMENTO E INSTALAÇÃO. AF_08/2021</t>
  </si>
  <si>
    <t>02.05.04.05</t>
  </si>
  <si>
    <t>EXTINTORES (PORTÁTIL)</t>
  </si>
  <si>
    <t>02.05.04.05.01</t>
  </si>
  <si>
    <t>EXTINTOR MANUAL DE GÁS CARBÔNICO 5 BC - CAPACIDADE DE 6 KG</t>
  </si>
  <si>
    <t>02.05.04.05.02</t>
  </si>
  <si>
    <t>EXTINTOR MANUAL DE ÁGUA PRESSURIZADA - CAPACIDADE DE 10 LITROS</t>
  </si>
  <si>
    <t>02.05.04.05.03</t>
  </si>
  <si>
    <t>EXTINTOR DE INCÊNDIO TIPO PÓ QUÍMICO 2-A:20-B:C, CAPACIDADE 6 KG</t>
  </si>
  <si>
    <t>U</t>
  </si>
  <si>
    <t>02.05.04.06</t>
  </si>
  <si>
    <t>BOMBAS E EQUIPAMENTOS</t>
  </si>
  <si>
    <t>02.05.04.06.01</t>
  </si>
  <si>
    <t>BOMBA CENTRÍFUGA HORIZONTAL - MOD. UNI 300T, VAZÃO 12,2M³/ H, POTÊNCIA 0,5CV, MOTOR TRIFÁSICO 220V, ROTAÇÃO 3450RPM, AMT 6,0MCA, FABRICANTE ABS.</t>
  </si>
  <si>
    <t>02.05.04.06.02</t>
  </si>
  <si>
    <t>02.05.04.06.03</t>
  </si>
  <si>
    <t>MANÔMETRO PARA AUTOMATIZAÇÃO DO SISTEMA DE INCÊNDIO, ESCALA 0 A 100MCA, FABRICANTE DOX.</t>
  </si>
  <si>
    <t>02.06</t>
  </si>
  <si>
    <t>GASES</t>
  </si>
  <si>
    <t>02.06.01</t>
  </si>
  <si>
    <t>02.06.01.01</t>
  </si>
  <si>
    <t>TUBO EM COBRE RÍGIDO, DN 15 MM, CLASSE A, SEM ISOLAMENTO, INSTALADO EM RAMAL DE DISTRIBUIÇÃO  FORNECIMENTO E INSTALAÇÃO. AF_12/2015</t>
  </si>
  <si>
    <t>02.06.01.02</t>
  </si>
  <si>
    <t>TUBO EM COBRE RÍGIDO, DN 22 MM, CLASSE A, SEM ISOLAMENTO, INSTALADO EM RAMAL DE DISTRIBUIÇÃO FORNECIMENTO E INSTALAÇÃO. AF_12/2015</t>
  </si>
  <si>
    <t>02.06.01.03</t>
  </si>
  <si>
    <t>TUBO EM COBRE RÍGIDO, DN 28 MM, CLASSE A, SEM ISOLAMENTO, INSTALADO EM RAMAL DE DISTRIBUIÇÃO FORNECIMENTO E INSTALAÇÃO. AF_12/2015</t>
  </si>
  <si>
    <t>02.06.01.04</t>
  </si>
  <si>
    <t>02.06.01.05</t>
  </si>
  <si>
    <t>LUVA EM COBRE, DN 15 MM, SEM ANEL DE SOLDA, INSTALADO EM RAMAL DE DISTRIBUIÇÃO DE HIDRÁULICA PREDIAL - FORNECIMENTO E INSTALAÇÃO. AF_04/2022</t>
  </si>
  <si>
    <t>02.06.01.06</t>
  </si>
  <si>
    <t>LUVA EM COBRE, DN 22 MM, SEM ANEL DE SOLDA, INSTALADO EM RAMAL DE DISTRIBUIÇÃO DE HIDRÁULICA PREDIAL - FORNECIMENTO E INSTALAÇÃO. AF_04/2022</t>
  </si>
  <si>
    <t>02.06.01.07</t>
  </si>
  <si>
    <t>LUVA EM COBRE, DN 28 MM, SEM ANEL DE SOLDA, INSTALADO EM RAMAL DE DISTRIBUIÇÃO DE HIDRÁULICA PREDIAL - FORNECIMENTO E INSTALAÇÃO. AF_04/2022</t>
  </si>
  <si>
    <t>02.06.01.08</t>
  </si>
  <si>
    <t>LUVA EM COBRE, DN 35 MM, SEM ANEL DE SOLDA, INSTALADO EM PRUMADA DE HIDRÁULICA PREDIAL - FORNECIMENTO E INSTALAÇÃO. AF_04/2022</t>
  </si>
  <si>
    <t>02.06.01.09</t>
  </si>
  <si>
    <t>COTOVELO EM COBRE, DN 15 MM, 90 GRAUS, SEM ANEL DE SOLDA, INSTALADO EM RAMAL DE DISTRIBUIÇÃO  FORNECIMENTO E INSTALAÇÃO. AF_12/2015</t>
  </si>
  <si>
    <t>02.06.01.10</t>
  </si>
  <si>
    <t>COTOVELO EM COBRE, DN 22 MM, 90 GRAUS, SEM ANEL DE SOLDA, INSTALADO EM RAMAL DE DISTRIBUIÇÃO DE HIDRÁULICA PREDIAL - FORNECIMENTO E INSTALAÇÃO. AF_04/2022</t>
  </si>
  <si>
    <t>02.06.01.11</t>
  </si>
  <si>
    <t>02.06.01.12</t>
  </si>
  <si>
    <t>TE EM COBRE, DN 15 MM, SEM ANEL DE SOLDA, INSTALADO EM RAMAL DE DISTRIBUIÇÃO DE HIDRÁULICA PREDIAL - FORNECIMENTO E INSTALAÇÃO. AF_04/2022</t>
  </si>
  <si>
    <t>02.06.01.13</t>
  </si>
  <si>
    <t>TE EM COBRE, DN 22 MM, SEM ANEL DE SOLDA, INSTALADO EM RAMAL DE DISTRIBUIÇÃO DE HIDRÁULICA PREDIAL - FORNECIMENTO E INSTALAÇÃO. AF_04/2022</t>
  </si>
  <si>
    <t>02.06.01.14</t>
  </si>
  <si>
    <t>TE EM COBRE, DN 35 MM, SEM ANEL DE SOLDA, INSTALADO EM PRUMADA DE HIDRÁULICA PREDIAL - FORNECIMENTO E INSTALAÇÃO. AF_04/2022</t>
  </si>
  <si>
    <t>02.06.01.15</t>
  </si>
  <si>
    <t>TE REDUCAO COBRE 22X15MM</t>
  </si>
  <si>
    <t>02.06.01.16</t>
  </si>
  <si>
    <t>TE REDUCAO COBRE 28X15MM</t>
  </si>
  <si>
    <t>02.06.01.17</t>
  </si>
  <si>
    <t>TE REDUCAO COBRE 38X15MM</t>
  </si>
  <si>
    <t>02.06.01.18</t>
  </si>
  <si>
    <t>TE REDUCAO COBRE 35X22MM</t>
  </si>
  <si>
    <t>02.06.01.19</t>
  </si>
  <si>
    <t>BUCHA DE REDUÇÃO EM COBRE, DN 22 MM X 15 MM, SEM ANEL DE SOLDA, PONTA X BOLSA, INSTALADO EM RAMAL E SUB-RAMAL  FORNECIMENTO E INSTALAÇÃO. AF_01/2016</t>
  </si>
  <si>
    <t>02.06.01.20</t>
  </si>
  <si>
    <t>BUCHA DE REDUÇÃO DE COBRE, JUNTAS SOLDADAS, DIÂM = 28MM X 15MM</t>
  </si>
  <si>
    <t>02.06.01.21</t>
  </si>
  <si>
    <t>BUCHA DE REDUÇÃO EM COBRE, DN 28 MM X 22 MM, SEM ANEL DE SOLDA, INSTALADO EM RAMAL DE DISTRIBUIÇÃO  FORNECIMENTO E INSTALAÇÃO. AF_01/2016</t>
  </si>
  <si>
    <t>02.06.01.22</t>
  </si>
  <si>
    <t>BUCHA DE REDUÇÃO DE COBRE, JUNTAS SOLDADAS, DIÂM = 35MM X 22MM</t>
  </si>
  <si>
    <t>02.06.01.23</t>
  </si>
  <si>
    <t>BUCHA DE REDUÇÃO EM COBRE, DN 35 MM X 28 MM, SEM ANEL DE SOLDA, PONTA X BOLSA, INSTALADO EM PRUMADA  FORNECIMENTO E INSTALAÇÃO. AF_01/2016</t>
  </si>
  <si>
    <t>02.06.01.24</t>
  </si>
  <si>
    <t>CONECTOR COBRE 35MMX1.1/4""</t>
  </si>
  <si>
    <t>02.06.02</t>
  </si>
  <si>
    <t>VÁLVULAS</t>
  </si>
  <si>
    <t>02.06.02.01</t>
  </si>
  <si>
    <t>02.06.03</t>
  </si>
  <si>
    <t>TARUGO DE COBRE</t>
  </si>
  <si>
    <t>02.06.03.01</t>
  </si>
  <si>
    <t>02.06.04</t>
  </si>
  <si>
    <t>POSTOS DE UTILIZAÇÃO EMBUTIDOS (COM ENGATE RAPIDO)</t>
  </si>
  <si>
    <t>02.06.04.01</t>
  </si>
  <si>
    <t>02.06.05</t>
  </si>
  <si>
    <t>COMPRESSOR DE AR</t>
  </si>
  <si>
    <t>02.06.05.01</t>
  </si>
  <si>
    <t>COMPRESSOR DE AR COMPRIMIDO INDUSTRIAL, MOD. BRAVO CSLV 60BR, POTÊNCIA ESTIMADA 15CV, TENSÃO 220V TRIFÁSICO, FABRICANTE: SCHULZ</t>
  </si>
  <si>
    <t>02.07</t>
  </si>
  <si>
    <t>AR CONDICIONADO</t>
  </si>
  <si>
    <t>02.07.01</t>
  </si>
  <si>
    <t>EQUIPAMENTOS</t>
  </si>
  <si>
    <t>02.07.01.01</t>
  </si>
  <si>
    <t>EQUIPAMENTOS, MATERIAIS COMPLEMENTARES E MÃO DE OBRA INSTALAÇÃO</t>
  </si>
  <si>
    <t>02.07.01.01.01</t>
  </si>
  <si>
    <t>GL</t>
  </si>
  <si>
    <t>02.07.01.01.02</t>
  </si>
  <si>
    <t>FRETE DOS EQUIPAMENTOS</t>
  </si>
  <si>
    <t>02.07.01.01.03</t>
  </si>
  <si>
    <t>MÃO DE OBRA E MATERIAIS COMPLEMENTARES PARA CONDICIONADORES DE AR</t>
  </si>
  <si>
    <t>02.07.01.01.04</t>
  </si>
  <si>
    <t>MÃO DE OBRA E MATERIAIS COMPLEMENTARES PARA EXAUSTÃO COZINHA</t>
  </si>
  <si>
    <t>02.07.01.01.05</t>
  </si>
  <si>
    <t>MÃO DE OBRA E MATERIAIS COMPLEMENTARES PARA AR EXTERIOR</t>
  </si>
  <si>
    <t>02.07.01.01.06</t>
  </si>
  <si>
    <t>MÃO DE OBRA E MATERIAIS COMPLEMENTARES PARA EXAUSTSÃO MECÂNICA DE SANITÁRIOS</t>
  </si>
  <si>
    <t>02.08</t>
  </si>
  <si>
    <t>SISTEMAS COMUNICAÇÃO</t>
  </si>
  <si>
    <t>02.08.01</t>
  </si>
  <si>
    <t>ACESSIBILIDADE - (FORA DO ESCOPO)</t>
  </si>
  <si>
    <t>02.08.02</t>
  </si>
  <si>
    <t>COMUNICAÇÕES - (FORA DO ESCOPO)</t>
  </si>
  <si>
    <t>02.08.03</t>
  </si>
  <si>
    <t>CFTV E CONTROLE DE ACESSO - (FORA DO ESCOPO)</t>
  </si>
  <si>
    <t>02.08.04</t>
  </si>
  <si>
    <t>AUDIO E VIDEO - (FORA DO ESCOPO)</t>
  </si>
  <si>
    <t>02.08.05</t>
  </si>
  <si>
    <t>SUPERVISÃO E CONTROLE PREDIAL - (FORA DO ESCOPO)</t>
  </si>
  <si>
    <t>02.09</t>
  </si>
  <si>
    <t>LIMPEZA FINAL DA OBRA E BOTA-FORA</t>
  </si>
  <si>
    <t>02.09.01</t>
  </si>
  <si>
    <t>LIMPEZA</t>
  </si>
  <si>
    <t>02.09.01.01</t>
  </si>
  <si>
    <t>LIMPEZA FINAL DA OBRA</t>
  </si>
  <si>
    <t>02.09.01.02</t>
  </si>
  <si>
    <t>TOTAL PLANILHA (SEM BDI)</t>
  </si>
  <si>
    <t>UNITÁRIO</t>
  </si>
  <si>
    <t>LITOTECA URCA/RJ</t>
  </si>
  <si>
    <t>IO:
jun/22</t>
  </si>
  <si>
    <t>ORÇAMENTO SINTÉTICO GLOBAL</t>
  </si>
  <si>
    <t>REFERÊNCIA SINAPI</t>
  </si>
  <si>
    <t>CONTRATAÇÃO POR ADMINISTRAÇÃO INDIRETA</t>
  </si>
  <si>
    <t>OBRA:</t>
  </si>
  <si>
    <t>LITOTECA URCA</t>
  </si>
  <si>
    <t>BDI:</t>
  </si>
  <si>
    <t>TOTAL GERAL + BDI</t>
  </si>
  <si>
    <t>#ERROR!</t>
  </si>
  <si>
    <t>DETALHAMENTO DO BDI</t>
  </si>
  <si>
    <t>OBRA: URCA - RJ</t>
  </si>
  <si>
    <t>Item</t>
  </si>
  <si>
    <t>Descrição dos Serviços</t>
  </si>
  <si>
    <t>%</t>
  </si>
  <si>
    <t>PV</t>
  </si>
  <si>
    <t>CD</t>
  </si>
  <si>
    <t>ADMINISTRAÇÃO CENTRAL</t>
  </si>
  <si>
    <t>1.1</t>
  </si>
  <si>
    <t>ESCRITÓRIO CENTRAL</t>
  </si>
  <si>
    <t>1.2</t>
  </si>
  <si>
    <t>VIAGENS</t>
  </si>
  <si>
    <t>1.3</t>
  </si>
  <si>
    <t>OUTROS</t>
  </si>
  <si>
    <t>IMPOSTOS E TAXAS</t>
  </si>
  <si>
    <t>2.1</t>
  </si>
  <si>
    <t>ISS</t>
  </si>
  <si>
    <t>2.2</t>
  </si>
  <si>
    <t>PIS</t>
  </si>
  <si>
    <t>2.3</t>
  </si>
  <si>
    <t>Cofins</t>
  </si>
  <si>
    <t>TAXA DE RISCO</t>
  </si>
  <si>
    <t>3.1</t>
  </si>
  <si>
    <t>SEGURO</t>
  </si>
  <si>
    <t>3.2</t>
  </si>
  <si>
    <t>RISCO</t>
  </si>
  <si>
    <t>GARANTIA</t>
  </si>
  <si>
    <t>DESPESAS FINANCEIRAS</t>
  </si>
  <si>
    <t>LUCRO</t>
  </si>
  <si>
    <t>BDI - CALCULADO</t>
  </si>
  <si>
    <t>TOTAL URCA</t>
  </si>
  <si>
    <t>R$</t>
  </si>
  <si>
    <t>METRO(S) LINEAR(ES) DE PRATELEIRA REVESTIDA EM LAMINADO MELAMINICO COM 300MM DE PROFUNDIDADE.</t>
  </si>
  <si>
    <t>ARMARIO SUPERIOR MEDINDO 450X300X900MM PROVIDO DE UMA PORTA A ESQUERDA E TRES NIVEIS DE APOIO.</t>
  </si>
  <si>
    <t>BANCADA LATERAL EM "L" MEDINDO (2400X650)+(1250X700)X900MM</t>
  </si>
  <si>
    <t>CAPELA MODELO LS-408 MEDINDO 1500X890X2600MM</t>
  </si>
  <si>
    <t>ELETRODUTOS, CONEXÕES, CAIXAS, CONDUTORES -ILUMINAÇÃO COMPLEMENTAR</t>
  </si>
  <si>
    <t>INSTALAÇÕES HIDRÁULICAS - ÁGUAS PLUVIAIS, ÁGUA FRIA, ESGOTO, INCÊNDIO E GASES</t>
  </si>
  <si>
    <t>FORNECIMENTO DE CONDICIONADORES DE AR</t>
  </si>
  <si>
    <t>BDI</t>
  </si>
  <si>
    <t>TOTAL GERAL COM BDI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</si>
</sst>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13"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0"/>
      <color rgb="FFFFFFFF"/>
      <name val="Calibri"/>
      <family val="2"/>
      <scheme val="minor"/>
    </font>
    <font>
      <b/>
      <sz val="10"/>
      <color theme="1"/>
      <name val="Arial"/>
      <family val="2"/>
    </font>
    <font>
      <sz val="9"/>
      <color theme="1"/>
      <name val="Calibri"/>
      <family val="2"/>
      <scheme val="minor"/>
    </font>
    <font>
      <b/>
      <sz val="11"/>
      <color theme="1"/>
      <name val="Calibri"/>
      <family val="2"/>
      <scheme val="minor"/>
    </font>
    <font>
      <b/>
      <sz val="9"/>
      <color theme="1"/>
      <name val="Calibri"/>
      <family val="2"/>
      <scheme val="minor"/>
    </font>
    <font>
      <sz val="8"/>
      <color theme="1"/>
      <name val="Calibri"/>
      <family val="2"/>
      <scheme val="minor"/>
    </font>
    <font>
      <b/>
      <sz val="11"/>
      <color rgb="FFFFFFFF"/>
      <name val="Calibri"/>
      <family val="2"/>
      <scheme val="minor"/>
    </font>
  </fonts>
  <fills count="11">
    <fill>
      <patternFill patternType="none"/>
    </fill>
    <fill>
      <patternFill patternType="gray125"/>
    </fill>
    <fill>
      <patternFill patternType="solid">
        <fgColor rgb="FF7F7F7F"/>
        <bgColor indexed="64"/>
      </patternFill>
    </fill>
    <fill>
      <patternFill patternType="solid">
        <fgColor rgb="FFA5A5A5"/>
        <bgColor indexed="64"/>
      </patternFill>
    </fill>
    <fill>
      <patternFill patternType="solid">
        <fgColor rgb="FFBFBFBF"/>
        <bgColor indexed="64"/>
      </patternFill>
    </fill>
    <fill>
      <patternFill patternType="solid">
        <fgColor rgb="FFFFFFFF"/>
        <bgColor indexed="64"/>
      </patternFill>
    </fill>
    <fill>
      <patternFill patternType="solid">
        <fgColor rgb="FFD0E0E3"/>
        <bgColor indexed="64"/>
      </patternFill>
    </fill>
    <fill>
      <patternFill patternType="solid">
        <fgColor rgb="FFF2F2F2"/>
        <bgColor indexed="64"/>
      </patternFill>
    </fill>
    <fill>
      <patternFill patternType="solid">
        <fgColor rgb="FF76A5AF"/>
        <bgColor indexed="64"/>
      </patternFill>
    </fill>
    <fill>
      <patternFill patternType="solid">
        <fgColor rgb="FFC0C0C0"/>
        <bgColor indexed="64"/>
      </patternFill>
    </fill>
    <fill>
      <patternFill patternType="solid">
        <fgColor rgb="FFD8D8D8"/>
        <bgColor indexed="64"/>
      </patternFill>
    </fill>
  </fills>
  <borders count="34">
    <border>
      <left/>
      <right/>
      <top/>
      <bottom/>
      <diagonal/>
    </border>
    <border>
      <left style="medium">
        <color rgb="FF000000"/>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000000"/>
      </left>
      <right style="dotted">
        <color rgb="FF000000"/>
      </right>
      <top style="medium">
        <color rgb="FFCCCCCC"/>
      </top>
      <bottom style="dotted">
        <color rgb="FF000000"/>
      </bottom>
      <diagonal/>
    </border>
    <border>
      <left style="medium">
        <color rgb="FFCCCCCC"/>
      </left>
      <right style="dotted">
        <color rgb="FF000000"/>
      </right>
      <top style="medium">
        <color rgb="FFCCCCCC"/>
      </top>
      <bottom style="dotted">
        <color rgb="FF000000"/>
      </bottom>
      <diagonal/>
    </border>
    <border>
      <left style="medium">
        <color rgb="FFCCCCCC"/>
      </left>
      <right style="medium">
        <color rgb="FF000000"/>
      </right>
      <top style="medium">
        <color rgb="FFCCCCCC"/>
      </top>
      <bottom style="dotted">
        <color rgb="FF000000"/>
      </bottom>
      <diagonal/>
    </border>
    <border>
      <left style="medium">
        <color rgb="FFCCCCCC"/>
      </left>
      <right style="dotted">
        <color rgb="FF000000"/>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000000"/>
      </left>
      <right style="dotted">
        <color rgb="FF000000"/>
      </right>
      <top style="medium">
        <color rgb="FFCCCCCC"/>
      </top>
      <bottom style="medium">
        <color rgb="FF000000"/>
      </bottom>
      <diagonal/>
    </border>
    <border>
      <left style="medium">
        <color rgb="FFCCCCCC"/>
      </left>
      <right style="dotted">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000000"/>
      </top>
      <bottom style="medium">
        <color rgb="FFCCCCCC"/>
      </bottom>
      <diagonal/>
    </border>
    <border>
      <left/>
      <right/>
      <top style="medium">
        <color rgb="FF000000"/>
      </top>
      <bottom style="medium">
        <color rgb="FFCCCCCC"/>
      </bottom>
      <diagonal/>
    </border>
    <border>
      <left/>
      <right style="medium">
        <color rgb="FF000000"/>
      </right>
      <top style="medium">
        <color rgb="FF000000"/>
      </top>
      <bottom style="medium">
        <color rgb="FFCCCCCC"/>
      </bottom>
      <diagonal/>
    </border>
    <border>
      <left style="medium">
        <color rgb="FF000000"/>
      </left>
      <right style="dotted">
        <color rgb="FF000000"/>
      </right>
      <top style="medium">
        <color rgb="FF000000"/>
      </top>
      <bottom style="dotted">
        <color rgb="FF000000"/>
      </bottom>
      <diagonal/>
    </border>
    <border>
      <left style="medium">
        <color rgb="FF000000"/>
      </left>
      <right style="medium">
        <color rgb="FFCCCCCC"/>
      </right>
      <top style="medium">
        <color rgb="FF000000"/>
      </top>
      <bottom style="medium">
        <color rgb="FFCCCCCC"/>
      </bottom>
      <diagonal/>
    </border>
    <border>
      <left style="medium">
        <color rgb="FFCCCCCC"/>
      </left>
      <right style="medium">
        <color rgb="FF000000"/>
      </right>
      <top style="medium">
        <color rgb="FF000000"/>
      </top>
      <bottom style="medium">
        <color rgb="FFCCCCCC"/>
      </bottom>
      <diagonal/>
    </border>
    <border>
      <left style="medium">
        <color rgb="FF000000"/>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top style="medium">
        <color rgb="FF000000"/>
      </top>
      <bottom/>
      <diagonal/>
    </border>
    <border>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dotted">
        <color rgb="FF000000"/>
      </bottom>
      <diagonal/>
    </border>
    <border>
      <left style="medium">
        <color rgb="FF000000"/>
      </left>
      <right style="medium">
        <color rgb="FF000000"/>
      </right>
      <top/>
      <bottom style="medium">
        <color rgb="FFCCCCCC"/>
      </bottom>
      <diagonal/>
    </border>
    <border>
      <left style="dotted">
        <color rgb="FF000000"/>
      </left>
      <right style="medium">
        <color rgb="FF000000"/>
      </right>
      <top style="medium">
        <color rgb="FFCCCCCC"/>
      </top>
      <bottom style="dotted">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2">
    <xf numFmtId="0" fontId="0" fillId="0" borderId="0" xfId="0"/>
    <xf numFmtId="0" fontId="0" fillId="2" borderId="3" xfId="0" applyFill="1" applyBorder="1" applyAlignment="1">
      <alignment vertical="center" wrapText="1"/>
    </xf>
    <xf numFmtId="0" fontId="0" fillId="2" borderId="8" xfId="0" applyFill="1" applyBorder="1" applyAlignment="1">
      <alignment vertical="center" wrapText="1"/>
    </xf>
    <xf numFmtId="4" fontId="0" fillId="0" borderId="0" xfId="0" applyNumberFormat="1"/>
    <xf numFmtId="0" fontId="0" fillId="0" borderId="0" xfId="0" applyAlignment="1">
      <alignment wrapText="1"/>
    </xf>
    <xf numFmtId="0" fontId="4" fillId="0" borderId="1" xfId="0" applyFont="1" applyBorder="1" applyAlignment="1">
      <alignment vertical="center" wrapText="1"/>
    </xf>
    <xf numFmtId="0" fontId="4" fillId="0" borderId="2" xfId="0" applyFont="1" applyBorder="1" applyAlignment="1">
      <alignment vertical="center" wrapText="1"/>
    </xf>
    <xf numFmtId="0" fontId="5" fillId="0" borderId="2" xfId="0" applyFont="1" applyBorder="1" applyAlignment="1">
      <alignment vertical="center" wrapText="1"/>
    </xf>
    <xf numFmtId="0" fontId="6" fillId="2" borderId="4" xfId="0" applyFont="1" applyFill="1" applyBorder="1" applyAlignment="1">
      <alignment horizontal="center" vertic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6" fillId="2" borderId="6" xfId="0" applyFont="1" applyFill="1" applyBorder="1" applyAlignment="1">
      <alignment horizontal="center" vertical="center" wrapText="1"/>
    </xf>
    <xf numFmtId="0" fontId="5" fillId="2" borderId="9" xfId="0" applyFont="1" applyFill="1" applyBorder="1" applyAlignment="1">
      <alignment vertical="center" wrapText="1"/>
    </xf>
    <xf numFmtId="0" fontId="4" fillId="3" borderId="3" xfId="0" applyFont="1" applyFill="1" applyBorder="1" applyAlignment="1">
      <alignment horizontal="center" vertical="center" wrapText="1"/>
    </xf>
    <xf numFmtId="0" fontId="5" fillId="3" borderId="4" xfId="0" applyFont="1" applyFill="1" applyBorder="1" applyAlignment="1">
      <alignment vertical="center" wrapText="1"/>
    </xf>
    <xf numFmtId="0" fontId="4" fillId="3" borderId="4" xfId="0" applyFont="1" applyFill="1" applyBorder="1" applyAlignment="1">
      <alignment vertical="center" wrapText="1"/>
    </xf>
    <xf numFmtId="0" fontId="4" fillId="3" borderId="4" xfId="0" applyFont="1" applyFill="1" applyBorder="1" applyAlignment="1">
      <alignment horizontal="right" vertical="center" wrapText="1"/>
    </xf>
    <xf numFmtId="0" fontId="4" fillId="3"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4" xfId="0" applyFont="1" applyFill="1" applyBorder="1" applyAlignment="1">
      <alignment vertical="center" wrapText="1"/>
    </xf>
    <xf numFmtId="0" fontId="4" fillId="4" borderId="4" xfId="0" applyFont="1" applyFill="1" applyBorder="1" applyAlignment="1">
      <alignment vertical="center" wrapText="1"/>
    </xf>
    <xf numFmtId="0" fontId="4" fillId="4" borderId="4" xfId="0" applyFont="1" applyFill="1" applyBorder="1" applyAlignment="1">
      <alignment horizontal="right" vertical="center" wrapText="1"/>
    </xf>
    <xf numFmtId="0" fontId="4" fillId="4" borderId="4"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5" borderId="4" xfId="0" applyFont="1" applyFill="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right" vertical="center" wrapText="1"/>
    </xf>
    <xf numFmtId="4" fontId="5" fillId="0" borderId="4" xfId="0" applyNumberFormat="1" applyFont="1" applyBorder="1" applyAlignment="1">
      <alignment horizontal="right" vertical="center" wrapText="1"/>
    </xf>
    <xf numFmtId="0" fontId="5" fillId="0" borderId="5" xfId="0" applyFont="1" applyBorder="1" applyAlignment="1">
      <alignment vertical="center" wrapText="1"/>
    </xf>
    <xf numFmtId="0" fontId="5" fillId="0" borderId="3" xfId="0" applyFont="1" applyBorder="1" applyAlignment="1">
      <alignment vertical="center" wrapText="1"/>
    </xf>
    <xf numFmtId="0" fontId="5" fillId="5" borderId="4" xfId="0" applyFont="1" applyFill="1" applyBorder="1" applyAlignment="1">
      <alignment vertical="center" wrapText="1"/>
    </xf>
    <xf numFmtId="0" fontId="5" fillId="5" borderId="4" xfId="0" applyFont="1" applyFill="1" applyBorder="1" applyAlignment="1">
      <alignment horizontal="right" vertical="center" wrapText="1"/>
    </xf>
    <xf numFmtId="4" fontId="5" fillId="5" borderId="4" xfId="0" applyNumberFormat="1" applyFont="1" applyFill="1" applyBorder="1" applyAlignment="1">
      <alignment horizontal="right" vertical="center" wrapText="1"/>
    </xf>
    <xf numFmtId="0" fontId="4" fillId="6" borderId="3" xfId="0" applyFont="1" applyFill="1" applyBorder="1" applyAlignment="1">
      <alignment horizontal="center" vertical="center" wrapText="1"/>
    </xf>
    <xf numFmtId="0" fontId="5" fillId="6" borderId="4" xfId="0" applyFont="1" applyFill="1" applyBorder="1" applyAlignment="1">
      <alignment vertical="center" wrapText="1"/>
    </xf>
    <xf numFmtId="0" fontId="4" fillId="6" borderId="4" xfId="0" applyFont="1" applyFill="1" applyBorder="1" applyAlignment="1">
      <alignment vertical="center" wrapText="1"/>
    </xf>
    <xf numFmtId="0" fontId="4" fillId="6" borderId="4" xfId="0" applyFont="1" applyFill="1" applyBorder="1" applyAlignment="1">
      <alignment horizontal="right"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vertical="center" wrapText="1"/>
    </xf>
    <xf numFmtId="0" fontId="4" fillId="5" borderId="4" xfId="0" applyFont="1" applyFill="1" applyBorder="1" applyAlignment="1">
      <alignment vertical="center" wrapText="1"/>
    </xf>
    <xf numFmtId="0" fontId="4" fillId="5" borderId="3" xfId="0" applyFont="1" applyFill="1" applyBorder="1" applyAlignment="1">
      <alignment horizontal="center" vertical="center" wrapText="1"/>
    </xf>
    <xf numFmtId="0" fontId="5" fillId="7" borderId="4" xfId="0" applyFont="1" applyFill="1" applyBorder="1" applyAlignment="1">
      <alignment vertical="center" wrapText="1"/>
    </xf>
    <xf numFmtId="0" fontId="5" fillId="6" borderId="3" xfId="0" applyFont="1" applyFill="1" applyBorder="1" applyAlignment="1">
      <alignment vertical="center" wrapText="1"/>
    </xf>
    <xf numFmtId="0" fontId="5" fillId="6" borderId="4" xfId="0" applyFont="1" applyFill="1" applyBorder="1" applyAlignment="1">
      <alignment horizontal="right" vertical="center" wrapText="1"/>
    </xf>
    <xf numFmtId="0" fontId="5" fillId="6" borderId="4" xfId="0" applyFont="1" applyFill="1" applyBorder="1" applyAlignment="1">
      <alignment horizontal="center" vertical="center" wrapText="1"/>
    </xf>
    <xf numFmtId="0" fontId="6" fillId="2" borderId="4" xfId="0" applyFont="1" applyFill="1" applyBorder="1" applyAlignment="1">
      <alignment vertical="center" wrapText="1"/>
    </xf>
    <xf numFmtId="0" fontId="5" fillId="0" borderId="4" xfId="0" applyFont="1" applyBorder="1" applyAlignment="1">
      <alignment vertical="center"/>
    </xf>
    <xf numFmtId="0" fontId="4" fillId="3" borderId="1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5" fillId="0" borderId="15" xfId="0" applyFont="1" applyBorder="1" applyAlignment="1">
      <alignment vertical="center" wrapText="1"/>
    </xf>
    <xf numFmtId="0" fontId="4" fillId="0" borderId="16" xfId="0" applyFont="1" applyBorder="1" applyAlignment="1">
      <alignment vertical="center" wrapText="1"/>
    </xf>
    <xf numFmtId="0" fontId="5" fillId="0" borderId="17" xfId="0" applyFont="1" applyBorder="1" applyAlignment="1">
      <alignment vertical="center" wrapText="1"/>
    </xf>
    <xf numFmtId="0" fontId="4" fillId="0" borderId="7" xfId="0" applyFont="1" applyBorder="1" applyAlignment="1">
      <alignment vertical="center" wrapText="1"/>
    </xf>
    <xf numFmtId="0" fontId="5" fillId="0" borderId="1" xfId="0" applyFont="1" applyBorder="1" applyAlignment="1">
      <alignment vertical="center" wrapText="1"/>
    </xf>
    <xf numFmtId="0" fontId="4" fillId="0" borderId="10"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5" fillId="0" borderId="7" xfId="0" applyFont="1" applyBorder="1" applyAlignment="1">
      <alignment vertical="center" wrapText="1"/>
    </xf>
    <xf numFmtId="0" fontId="5" fillId="0" borderId="10" xfId="0" applyFont="1" applyBorder="1" applyAlignment="1">
      <alignment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4" fillId="3" borderId="3" xfId="0" applyFont="1" applyFill="1" applyBorder="1" applyAlignment="1">
      <alignment vertical="center" wrapText="1"/>
    </xf>
    <xf numFmtId="4" fontId="4" fillId="3" borderId="5" xfId="0" applyNumberFormat="1" applyFont="1" applyFill="1" applyBorder="1" applyAlignment="1">
      <alignment vertical="center" wrapText="1"/>
    </xf>
    <xf numFmtId="0" fontId="4" fillId="6" borderId="3" xfId="0" applyFont="1" applyFill="1" applyBorder="1" applyAlignment="1">
      <alignment vertical="center" wrapText="1"/>
    </xf>
    <xf numFmtId="4" fontId="4" fillId="6" borderId="5" xfId="0" applyNumberFormat="1" applyFont="1" applyFill="1" applyBorder="1" applyAlignment="1">
      <alignment vertical="center" wrapText="1"/>
    </xf>
    <xf numFmtId="4" fontId="6" fillId="2" borderId="5" xfId="0" applyNumberFormat="1" applyFont="1" applyFill="1" applyBorder="1" applyAlignment="1">
      <alignment vertical="center" wrapText="1"/>
    </xf>
    <xf numFmtId="10" fontId="6" fillId="2" borderId="3" xfId="0" applyNumberFormat="1" applyFont="1" applyFill="1" applyBorder="1" applyAlignment="1">
      <alignment horizontal="center" vertical="center" wrapText="1"/>
    </xf>
    <xf numFmtId="0" fontId="5" fillId="8" borderId="3" xfId="0" applyFont="1" applyFill="1" applyBorder="1" applyAlignment="1">
      <alignment vertical="center" wrapText="1"/>
    </xf>
    <xf numFmtId="0" fontId="6" fillId="8" borderId="4" xfId="0" applyFont="1" applyFill="1" applyBorder="1" applyAlignment="1">
      <alignment vertical="center" wrapText="1"/>
    </xf>
    <xf numFmtId="4" fontId="6" fillId="8" borderId="5" xfId="0" applyNumberFormat="1" applyFont="1" applyFill="1" applyBorder="1" applyAlignment="1">
      <alignment vertical="center" wrapText="1"/>
    </xf>
    <xf numFmtId="0" fontId="7" fillId="9" borderId="25"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7" fillId="10" borderId="24" xfId="0" applyFont="1" applyFill="1" applyBorder="1" applyAlignment="1">
      <alignment vertical="center" wrapText="1"/>
    </xf>
    <xf numFmtId="0" fontId="7" fillId="10" borderId="24" xfId="0" applyFont="1" applyFill="1" applyBorder="1" applyAlignment="1">
      <alignment horizontal="right" vertical="center" wrapText="1"/>
    </xf>
    <xf numFmtId="0" fontId="7" fillId="4" borderId="25" xfId="0" applyFont="1" applyFill="1" applyBorder="1" applyAlignment="1">
      <alignment vertical="center" wrapText="1"/>
    </xf>
    <xf numFmtId="0" fontId="7" fillId="4" borderId="25" xfId="0" applyFont="1" applyFill="1" applyBorder="1" applyAlignment="1">
      <alignment horizontal="right" vertical="center" wrapText="1"/>
    </xf>
    <xf numFmtId="0" fontId="5" fillId="0" borderId="26" xfId="0" applyFont="1" applyBorder="1" applyAlignment="1">
      <alignment wrapText="1"/>
    </xf>
    <xf numFmtId="0" fontId="5" fillId="9" borderId="24" xfId="0" applyFont="1" applyFill="1" applyBorder="1" applyAlignment="1">
      <alignment horizontal="center" vertical="center" wrapText="1"/>
    </xf>
    <xf numFmtId="0" fontId="5" fillId="0" borderId="20" xfId="0" applyFont="1" applyBorder="1" applyAlignment="1">
      <alignment vertical="center" wrapText="1"/>
    </xf>
    <xf numFmtId="0" fontId="5" fillId="0" borderId="24" xfId="0" applyFont="1" applyBorder="1" applyAlignment="1">
      <alignment vertical="center" wrapText="1"/>
    </xf>
    <xf numFmtId="0" fontId="5" fillId="0" borderId="20" xfId="0" applyFont="1" applyBorder="1" applyAlignment="1">
      <alignment horizontal="center" vertical="center" wrapText="1"/>
    </xf>
    <xf numFmtId="0" fontId="5" fillId="0" borderId="20" xfId="0" applyFont="1" applyBorder="1" applyAlignment="1">
      <alignment horizontal="right" vertical="center" wrapText="1"/>
    </xf>
    <xf numFmtId="0" fontId="5" fillId="10" borderId="24" xfId="0" applyFont="1" applyFill="1" applyBorder="1" applyAlignment="1">
      <alignment vertical="center" wrapText="1"/>
    </xf>
    <xf numFmtId="0" fontId="5" fillId="0" borderId="24" xfId="0" applyFont="1" applyBorder="1" applyAlignment="1">
      <alignment horizontal="right" vertical="center" wrapText="1"/>
    </xf>
    <xf numFmtId="0" fontId="5" fillId="0" borderId="21" xfId="0" applyFont="1" applyBorder="1" applyAlignment="1">
      <alignment vertical="center" wrapText="1"/>
    </xf>
    <xf numFmtId="0" fontId="5" fillId="0" borderId="25" xfId="0" applyFont="1" applyBorder="1" applyAlignment="1">
      <alignment vertical="center" wrapText="1"/>
    </xf>
    <xf numFmtId="0" fontId="5" fillId="4" borderId="21" xfId="0" applyFont="1" applyFill="1" applyBorder="1" applyAlignment="1">
      <alignment horizontal="right" vertical="center" wrapText="1"/>
    </xf>
    <xf numFmtId="10" fontId="0" fillId="0" borderId="0" xfId="2" applyNumberFormat="1" applyFont="1"/>
    <xf numFmtId="0" fontId="0" fillId="0" borderId="0" xfId="0" applyAlignment="1">
      <alignment vertical="center"/>
    </xf>
    <xf numFmtId="2" fontId="0" fillId="0" borderId="0" xfId="0" applyNumberFormat="1" applyAlignment="1">
      <alignment vertical="center"/>
    </xf>
    <xf numFmtId="0" fontId="8" fillId="0" borderId="4" xfId="0" applyFont="1" applyBorder="1" applyAlignment="1">
      <alignment vertical="center" wrapText="1"/>
    </xf>
    <xf numFmtId="44" fontId="5" fillId="0" borderId="2" xfId="1" applyFont="1" applyBorder="1" applyAlignment="1">
      <alignment vertical="center" wrapText="1"/>
    </xf>
    <xf numFmtId="44" fontId="0" fillId="0" borderId="0" xfId="1" applyFont="1"/>
    <xf numFmtId="44" fontId="6" fillId="2" borderId="7" xfId="1" applyFont="1" applyFill="1" applyBorder="1" applyAlignment="1">
      <alignment horizontal="center" vertical="center" wrapText="1"/>
    </xf>
    <xf numFmtId="44" fontId="5" fillId="2" borderId="10" xfId="1" applyFont="1" applyFill="1" applyBorder="1" applyAlignment="1">
      <alignment vertical="center" wrapText="1"/>
    </xf>
    <xf numFmtId="44" fontId="6" fillId="2" borderId="30" xfId="1" applyFont="1" applyFill="1" applyBorder="1" applyAlignment="1">
      <alignment horizontal="center" vertical="center" wrapText="1"/>
    </xf>
    <xf numFmtId="44" fontId="4" fillId="3" borderId="5" xfId="1" applyFont="1" applyFill="1" applyBorder="1" applyAlignment="1">
      <alignment vertical="center" wrapText="1"/>
    </xf>
    <xf numFmtId="44" fontId="4" fillId="3" borderId="31" xfId="1" applyFont="1" applyFill="1" applyBorder="1" applyAlignment="1">
      <alignment vertical="center" wrapText="1"/>
    </xf>
    <xf numFmtId="44" fontId="4" fillId="4" borderId="5" xfId="1" applyFont="1" applyFill="1" applyBorder="1" applyAlignment="1">
      <alignment vertical="center" wrapText="1"/>
    </xf>
    <xf numFmtId="44" fontId="4" fillId="4" borderId="31" xfId="1" applyFont="1" applyFill="1" applyBorder="1" applyAlignment="1">
      <alignment vertical="center" wrapText="1"/>
    </xf>
    <xf numFmtId="44" fontId="5" fillId="0" borderId="5" xfId="1" applyFont="1" applyBorder="1" applyAlignment="1">
      <alignment vertical="center" wrapText="1"/>
    </xf>
    <xf numFmtId="44" fontId="5" fillId="0" borderId="31" xfId="1" applyFont="1" applyBorder="1" applyAlignment="1">
      <alignment vertical="center" wrapText="1"/>
    </xf>
    <xf numFmtId="44" fontId="5" fillId="4" borderId="4" xfId="1" applyFont="1" applyFill="1" applyBorder="1" applyAlignment="1">
      <alignment vertical="center" wrapText="1"/>
    </xf>
    <xf numFmtId="44" fontId="3" fillId="0" borderId="31" xfId="1" applyFont="1" applyBorder="1" applyAlignment="1">
      <alignment vertical="center" wrapText="1"/>
    </xf>
    <xf numFmtId="44" fontId="2" fillId="4" borderId="31" xfId="1" applyFont="1" applyFill="1" applyBorder="1" applyAlignment="1">
      <alignment vertical="center" wrapText="1"/>
    </xf>
    <xf numFmtId="44" fontId="4" fillId="6" borderId="5" xfId="1" applyFont="1" applyFill="1" applyBorder="1" applyAlignment="1">
      <alignment vertical="center" wrapText="1"/>
    </xf>
    <xf numFmtId="44" fontId="2" fillId="6" borderId="31" xfId="1" applyFont="1" applyFill="1" applyBorder="1" applyAlignment="1">
      <alignment vertical="center" wrapText="1"/>
    </xf>
    <xf numFmtId="44" fontId="5" fillId="6" borderId="5" xfId="1" applyFont="1" applyFill="1" applyBorder="1" applyAlignment="1">
      <alignment vertical="center" wrapText="1"/>
    </xf>
    <xf numFmtId="44" fontId="3" fillId="6" borderId="31" xfId="1" applyFont="1" applyFill="1" applyBorder="1" applyAlignment="1">
      <alignment vertical="center" wrapText="1"/>
    </xf>
    <xf numFmtId="44" fontId="5" fillId="2" borderId="4" xfId="1" applyFont="1" applyFill="1" applyBorder="1" applyAlignment="1">
      <alignment vertical="center" wrapText="1"/>
    </xf>
    <xf numFmtId="44" fontId="4" fillId="4" borderId="4" xfId="1" applyFont="1" applyFill="1" applyBorder="1" applyAlignment="1">
      <alignment vertical="center" wrapText="1"/>
    </xf>
    <xf numFmtId="44" fontId="4" fillId="4" borderId="4" xfId="0" applyNumberFormat="1" applyFont="1" applyFill="1" applyBorder="1" applyAlignment="1">
      <alignment vertical="center" wrapText="1"/>
    </xf>
    <xf numFmtId="44" fontId="5" fillId="6" borderId="4" xfId="0" applyNumberFormat="1" applyFont="1" applyFill="1" applyBorder="1" applyAlignment="1">
      <alignment vertical="center" wrapText="1"/>
    </xf>
    <xf numFmtId="44" fontId="4" fillId="6" borderId="4" xfId="0" applyNumberFormat="1" applyFont="1" applyFill="1" applyBorder="1" applyAlignment="1">
      <alignment vertical="center" wrapText="1"/>
    </xf>
    <xf numFmtId="0" fontId="10" fillId="0" borderId="4" xfId="0" applyFont="1" applyBorder="1" applyAlignment="1">
      <alignment vertical="center" wrapText="1"/>
    </xf>
    <xf numFmtId="44" fontId="4" fillId="0" borderId="31" xfId="1" applyFont="1" applyBorder="1" applyAlignment="1">
      <alignment vertical="center" wrapText="1"/>
    </xf>
    <xf numFmtId="0" fontId="11" fillId="0" borderId="4" xfId="0" applyFont="1" applyBorder="1" applyAlignment="1">
      <alignment vertical="center" wrapText="1"/>
    </xf>
    <xf numFmtId="2" fontId="5" fillId="0" borderId="4" xfId="0" applyNumberFormat="1" applyFont="1" applyBorder="1" applyAlignment="1">
      <alignment horizontal="right" vertical="center" wrapText="1"/>
    </xf>
    <xf numFmtId="44" fontId="9" fillId="4" borderId="31" xfId="1" applyFont="1" applyFill="1" applyBorder="1" applyAlignment="1">
      <alignment vertical="center" wrapText="1"/>
    </xf>
    <xf numFmtId="44" fontId="9" fillId="6" borderId="31" xfId="1" applyFont="1" applyFill="1" applyBorder="1" applyAlignment="1">
      <alignment vertical="center" wrapText="1"/>
    </xf>
    <xf numFmtId="44" fontId="1" fillId="0" borderId="31" xfId="1" applyFont="1" applyBorder="1" applyAlignment="1">
      <alignment vertical="center" wrapText="1"/>
    </xf>
    <xf numFmtId="44" fontId="12" fillId="2" borderId="5" xfId="1" applyFont="1" applyFill="1" applyBorder="1" applyAlignment="1">
      <alignment vertical="center" wrapText="1"/>
    </xf>
    <xf numFmtId="44" fontId="1" fillId="0" borderId="33" xfId="1" applyFont="1" applyBorder="1" applyAlignment="1">
      <alignment vertical="center" wrapText="1"/>
    </xf>
    <xf numFmtId="44" fontId="12" fillId="8" borderId="5" xfId="1" applyFont="1" applyFill="1" applyBorder="1" applyAlignment="1">
      <alignment vertical="center" wrapText="1"/>
    </xf>
    <xf numFmtId="44" fontId="4" fillId="3" borderId="4" xfId="0" applyNumberFormat="1" applyFont="1" applyFill="1" applyBorder="1" applyAlignment="1">
      <alignment vertical="center" wrapText="1"/>
    </xf>
    <xf numFmtId="44" fontId="0" fillId="0" borderId="0" xfId="0" applyNumberFormat="1"/>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44" fontId="6" fillId="2" borderId="19" xfId="1" applyFont="1" applyFill="1" applyBorder="1" applyAlignment="1">
      <alignment horizontal="center" vertical="center" wrapText="1"/>
    </xf>
    <xf numFmtId="44" fontId="6" fillId="2" borderId="32" xfId="1"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5" fillId="5" borderId="19" xfId="0" applyFont="1" applyFill="1" applyBorder="1" applyAlignment="1">
      <alignment wrapText="1"/>
    </xf>
    <xf numFmtId="0" fontId="5" fillId="5" borderId="20" xfId="0" applyFont="1" applyFill="1" applyBorder="1" applyAlignment="1">
      <alignment wrapText="1"/>
    </xf>
    <xf numFmtId="0" fontId="5" fillId="5" borderId="21" xfId="0" applyFont="1" applyFill="1" applyBorder="1" applyAlignment="1">
      <alignment wrapText="1"/>
    </xf>
    <xf numFmtId="0" fontId="4" fillId="5" borderId="27" xfId="0" applyFont="1" applyFill="1" applyBorder="1" applyAlignment="1">
      <alignment wrapText="1"/>
    </xf>
    <xf numFmtId="0" fontId="4" fillId="5" borderId="23" xfId="0" applyFont="1" applyFill="1" applyBorder="1" applyAlignment="1">
      <alignment wrapText="1"/>
    </xf>
    <xf numFmtId="0" fontId="4" fillId="5" borderId="22" xfId="0" applyFont="1" applyFill="1" applyBorder="1" applyAlignment="1">
      <alignment wrapText="1"/>
    </xf>
    <xf numFmtId="0" fontId="4" fillId="5" borderId="28" xfId="0" applyFont="1" applyFill="1" applyBorder="1" applyAlignment="1">
      <alignment wrapText="1"/>
    </xf>
    <xf numFmtId="0" fontId="4" fillId="5" borderId="0" xfId="0" applyFont="1" applyFill="1" applyAlignment="1">
      <alignment wrapText="1"/>
    </xf>
    <xf numFmtId="0" fontId="4" fillId="5" borderId="24" xfId="0" applyFont="1" applyFill="1" applyBorder="1" applyAlignment="1">
      <alignment wrapText="1"/>
    </xf>
    <xf numFmtId="0" fontId="4" fillId="5" borderId="29" xfId="0" applyFont="1" applyFill="1" applyBorder="1" applyAlignment="1">
      <alignment wrapText="1"/>
    </xf>
    <xf numFmtId="0" fontId="4" fillId="5" borderId="26" xfId="0" applyFont="1" applyFill="1" applyBorder="1" applyAlignment="1">
      <alignment wrapText="1"/>
    </xf>
    <xf numFmtId="0" fontId="4" fillId="5" borderId="25" xfId="0" applyFont="1" applyFill="1" applyBorder="1" applyAlignment="1">
      <alignment wrapText="1"/>
    </xf>
    <xf numFmtId="0" fontId="7" fillId="9" borderId="19" xfId="0" applyFont="1" applyFill="1" applyBorder="1" applyAlignment="1">
      <alignment horizontal="center" vertical="center" wrapText="1"/>
    </xf>
    <xf numFmtId="0" fontId="7" fillId="9" borderId="21" xfId="0" applyFont="1" applyFill="1" applyBorder="1" applyAlignment="1">
      <alignment horizontal="center" vertical="center" wrapText="1"/>
    </xf>
  </cellXfs>
  <cellStyles count="3">
    <cellStyle name="Moeda" xfId="1" builtinId="4"/>
    <cellStyle name="Normal" xfId="0" builtinId="0"/>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30D7E-3EF5-4D09-A05D-CB846E5C04B3}">
  <dimension ref="A1:K1179"/>
  <sheetViews>
    <sheetView tabSelected="1" topLeftCell="A1060" zoomScaleNormal="100" workbookViewId="0">
      <selection activeCell="K1175" sqref="K1175"/>
    </sheetView>
  </sheetViews>
  <sheetFormatPr defaultRowHeight="14.4" x14ac:dyDescent="0.3"/>
  <cols>
    <col min="1" max="1" width="12.77734375" bestFit="1" customWidth="1"/>
    <col min="2" max="2" width="61.109375" customWidth="1"/>
    <col min="4" max="4" width="9" bestFit="1" customWidth="1"/>
    <col min="5" max="5" width="9.88671875" bestFit="1" customWidth="1"/>
    <col min="6" max="7" width="9" bestFit="1" customWidth="1"/>
    <col min="8" max="8" width="13.33203125" style="96" bestFit="1" customWidth="1"/>
    <col min="9" max="9" width="18" style="96" bestFit="1" customWidth="1"/>
    <col min="10" max="10" width="16.5546875" bestFit="1" customWidth="1"/>
  </cols>
  <sheetData>
    <row r="1" spans="1:10" ht="15" thickBot="1" x14ac:dyDescent="0.35">
      <c r="B1" s="7"/>
      <c r="C1" s="7"/>
      <c r="D1" s="7"/>
      <c r="E1" s="7"/>
      <c r="F1" s="7"/>
      <c r="G1" s="7"/>
      <c r="H1" s="95"/>
    </row>
    <row r="2" spans="1:10" ht="28.2" customHeight="1" thickBot="1" x14ac:dyDescent="0.35">
      <c r="A2" s="51" t="s">
        <v>2</v>
      </c>
      <c r="B2" s="8" t="s">
        <v>3</v>
      </c>
      <c r="C2" s="8" t="s">
        <v>4</v>
      </c>
      <c r="D2" s="8" t="s">
        <v>5</v>
      </c>
      <c r="E2" s="130" t="s">
        <v>1932</v>
      </c>
      <c r="F2" s="131"/>
      <c r="G2" s="131"/>
      <c r="H2" s="132"/>
      <c r="I2" s="133" t="s">
        <v>1973</v>
      </c>
      <c r="J2" s="91">
        <v>0.184419</v>
      </c>
    </row>
    <row r="3" spans="1:10" ht="15" customHeight="1" thickBot="1" x14ac:dyDescent="0.35">
      <c r="A3" s="1"/>
      <c r="B3" s="10"/>
      <c r="C3" s="10"/>
      <c r="D3" s="10"/>
      <c r="E3" s="11" t="s">
        <v>6</v>
      </c>
      <c r="F3" s="11" t="s">
        <v>7</v>
      </c>
      <c r="G3" s="11" t="s">
        <v>8</v>
      </c>
      <c r="H3" s="97" t="s">
        <v>9</v>
      </c>
      <c r="I3" s="134"/>
    </row>
    <row r="4" spans="1:10" ht="15" thickBot="1" x14ac:dyDescent="0.35">
      <c r="A4" s="2"/>
      <c r="B4" s="12"/>
      <c r="C4" s="12"/>
      <c r="D4" s="12"/>
      <c r="E4" s="12"/>
      <c r="F4" s="12"/>
      <c r="G4" s="12"/>
      <c r="H4" s="98"/>
      <c r="I4" s="99" t="s">
        <v>1974</v>
      </c>
      <c r="J4">
        <f>1.184419</f>
        <v>1.1844190000000001</v>
      </c>
    </row>
    <row r="5" spans="1:10" s="4" customFormat="1" ht="15" thickBot="1" x14ac:dyDescent="0.35">
      <c r="A5" s="50">
        <v>1</v>
      </c>
      <c r="B5" s="15" t="s">
        <v>10</v>
      </c>
      <c r="C5" s="14"/>
      <c r="D5" s="14"/>
      <c r="E5" s="16"/>
      <c r="F5" s="17"/>
      <c r="G5" s="15"/>
      <c r="H5" s="100" t="s">
        <v>11</v>
      </c>
      <c r="I5" s="101">
        <f>I6+I23+I38+I43+I49</f>
        <v>2237691.7705907305</v>
      </c>
    </row>
    <row r="6" spans="1:10" ht="15" thickBot="1" x14ac:dyDescent="0.35">
      <c r="A6" s="18" t="s">
        <v>12</v>
      </c>
      <c r="B6" s="20" t="s">
        <v>13</v>
      </c>
      <c r="C6" s="19"/>
      <c r="D6" s="19"/>
      <c r="E6" s="21"/>
      <c r="F6" s="22"/>
      <c r="G6" s="20"/>
      <c r="H6" s="102" t="s">
        <v>11</v>
      </c>
      <c r="I6" s="103">
        <f>SUM(I7:I21)</f>
        <v>1009676.2047584103</v>
      </c>
    </row>
    <row r="7" spans="1:10" ht="15" thickBot="1" x14ac:dyDescent="0.35">
      <c r="A7" s="23" t="s">
        <v>14</v>
      </c>
      <c r="B7" s="49" t="s">
        <v>15</v>
      </c>
      <c r="C7" s="24" t="s">
        <v>16</v>
      </c>
      <c r="D7" s="27">
        <v>8</v>
      </c>
      <c r="E7" s="92">
        <f t="shared" ref="E7:E12" si="0">164.15*(1.184419)</f>
        <v>194.42237885000003</v>
      </c>
      <c r="F7" s="92">
        <f>21497.69*(1.184419)</f>
        <v>25462.272492110002</v>
      </c>
      <c r="G7" s="92">
        <f>125.44*(1.184419)</f>
        <v>148.57351936000001</v>
      </c>
      <c r="H7" s="104">
        <f>E7+F7+G7</f>
        <v>25805.268390320001</v>
      </c>
      <c r="I7" s="105">
        <f>H7*D7</f>
        <v>206442.14712256001</v>
      </c>
    </row>
    <row r="8" spans="1:10" ht="28.2" customHeight="1" thickBot="1" x14ac:dyDescent="0.35">
      <c r="A8" s="23" t="s">
        <v>17</v>
      </c>
      <c r="B8" s="26" t="s">
        <v>18</v>
      </c>
      <c r="C8" s="24" t="s">
        <v>16</v>
      </c>
      <c r="D8" s="27">
        <v>4</v>
      </c>
      <c r="E8" s="93">
        <f t="shared" si="0"/>
        <v>194.42237885000003</v>
      </c>
      <c r="F8" s="93">
        <f>19303.11*(1.184419)</f>
        <v>22862.970243090003</v>
      </c>
      <c r="G8" s="93">
        <f>125.44*(1.184419)</f>
        <v>148.57351936000001</v>
      </c>
      <c r="H8" s="104">
        <f t="shared" ref="H8:H71" si="1">E8+F8+G8</f>
        <v>23205.966141300003</v>
      </c>
      <c r="I8" s="105">
        <f t="shared" ref="I8:I71" si="2">H8*D8</f>
        <v>92823.864565200012</v>
      </c>
    </row>
    <row r="9" spans="1:10" ht="42" customHeight="1" thickBot="1" x14ac:dyDescent="0.35">
      <c r="A9" s="23" t="s">
        <v>19</v>
      </c>
      <c r="B9" s="26" t="s">
        <v>20</v>
      </c>
      <c r="C9" s="24" t="s">
        <v>16</v>
      </c>
      <c r="D9" s="27">
        <v>8</v>
      </c>
      <c r="E9" s="93">
        <f t="shared" si="0"/>
        <v>194.42237885000003</v>
      </c>
      <c r="F9" s="93">
        <f>6592.54*(1.184419)</f>
        <v>7808.3296342600006</v>
      </c>
      <c r="G9" s="93">
        <f>125.44*(1.184419)</f>
        <v>148.57351936000001</v>
      </c>
      <c r="H9" s="104">
        <f t="shared" si="1"/>
        <v>8151.3255324700012</v>
      </c>
      <c r="I9" s="105">
        <f t="shared" si="2"/>
        <v>65210.60425976001</v>
      </c>
    </row>
    <row r="10" spans="1:10" ht="28.2" customHeight="1" thickBot="1" x14ac:dyDescent="0.35">
      <c r="A10" s="23" t="s">
        <v>21</v>
      </c>
      <c r="B10" s="26" t="s">
        <v>22</v>
      </c>
      <c r="C10" s="24" t="s">
        <v>16</v>
      </c>
      <c r="D10" s="27">
        <v>8</v>
      </c>
      <c r="E10" s="93">
        <f t="shared" si="0"/>
        <v>194.42237885000003</v>
      </c>
      <c r="F10" s="93">
        <f>3188.99*(1.184419)</f>
        <v>3777.1003468100002</v>
      </c>
      <c r="G10" s="93">
        <f>139.64*(1.184419)</f>
        <v>165.39226916000001</v>
      </c>
      <c r="H10" s="104">
        <f t="shared" si="1"/>
        <v>4136.9149948200002</v>
      </c>
      <c r="I10" s="105">
        <f t="shared" si="2"/>
        <v>33095.319958560001</v>
      </c>
    </row>
    <row r="11" spans="1:10" ht="28.2" customHeight="1" thickBot="1" x14ac:dyDescent="0.35">
      <c r="A11" s="23" t="s">
        <v>23</v>
      </c>
      <c r="B11" s="26" t="s">
        <v>24</v>
      </c>
      <c r="C11" s="24" t="s">
        <v>16</v>
      </c>
      <c r="D11" s="27">
        <v>8</v>
      </c>
      <c r="E11" s="93">
        <f t="shared" si="0"/>
        <v>194.42237885000003</v>
      </c>
      <c r="F11" s="93">
        <f>10527.8*(1.184419)</f>
        <v>12469.3263482</v>
      </c>
      <c r="G11" s="93">
        <f>221.52*(1.184419)</f>
        <v>262.37249688000003</v>
      </c>
      <c r="H11" s="104">
        <f t="shared" si="1"/>
        <v>12926.12122393</v>
      </c>
      <c r="I11" s="105">
        <f t="shared" si="2"/>
        <v>103408.96979144</v>
      </c>
    </row>
    <row r="12" spans="1:10" ht="42" customHeight="1" thickBot="1" x14ac:dyDescent="0.35">
      <c r="A12" s="23" t="s">
        <v>25</v>
      </c>
      <c r="B12" s="26" t="s">
        <v>26</v>
      </c>
      <c r="C12" s="24" t="s">
        <v>16</v>
      </c>
      <c r="D12" s="27">
        <v>8</v>
      </c>
      <c r="E12" s="93">
        <f t="shared" si="0"/>
        <v>194.42237885000003</v>
      </c>
      <c r="F12" s="93">
        <f>6936.46*(1.184419)</f>
        <v>8215.6750167400005</v>
      </c>
      <c r="G12" s="93">
        <f>221.52*(1.184419)</f>
        <v>262.37249688000003</v>
      </c>
      <c r="H12" s="104">
        <f t="shared" si="1"/>
        <v>8672.4698924700006</v>
      </c>
      <c r="I12" s="105">
        <f t="shared" si="2"/>
        <v>69379.759139760004</v>
      </c>
    </row>
    <row r="13" spans="1:10" ht="42" customHeight="1" thickBot="1" x14ac:dyDescent="0.35">
      <c r="A13" s="23" t="s">
        <v>27</v>
      </c>
      <c r="B13" s="26" t="s">
        <v>28</v>
      </c>
      <c r="C13" s="24" t="s">
        <v>29</v>
      </c>
      <c r="D13" s="28">
        <v>1760</v>
      </c>
      <c r="E13" s="93">
        <f>0.87*(1.184419)</f>
        <v>1.03044453</v>
      </c>
      <c r="F13" s="93">
        <f>38.27*(1.184419)</f>
        <v>45.327715130000009</v>
      </c>
      <c r="G13" s="93">
        <f>0.74*(1.184419)</f>
        <v>0.87647006000000005</v>
      </c>
      <c r="H13" s="104">
        <f t="shared" si="1"/>
        <v>47.234629720000008</v>
      </c>
      <c r="I13" s="105">
        <f t="shared" si="2"/>
        <v>83132.948307200015</v>
      </c>
    </row>
    <row r="14" spans="1:10" ht="28.2" customHeight="1" thickBot="1" x14ac:dyDescent="0.35">
      <c r="A14" s="23" t="s">
        <v>30</v>
      </c>
      <c r="B14" s="26" t="s">
        <v>22</v>
      </c>
      <c r="C14" s="24" t="s">
        <v>16</v>
      </c>
      <c r="D14" s="27">
        <v>8</v>
      </c>
      <c r="E14" s="93">
        <f>164.15*(1.184419)</f>
        <v>194.42237885000003</v>
      </c>
      <c r="F14" s="93">
        <f>3188.99*(1.184419)</f>
        <v>3777.1003468100002</v>
      </c>
      <c r="G14" s="93">
        <f>139.64*(1.184419)</f>
        <v>165.39226916000001</v>
      </c>
      <c r="H14" s="104">
        <f t="shared" si="1"/>
        <v>4136.9149948200002</v>
      </c>
      <c r="I14" s="105">
        <f t="shared" si="2"/>
        <v>33095.319958560001</v>
      </c>
    </row>
    <row r="15" spans="1:10" ht="42" customHeight="1" thickBot="1" x14ac:dyDescent="0.35">
      <c r="A15" s="23" t="s">
        <v>31</v>
      </c>
      <c r="B15" s="26" t="s">
        <v>32</v>
      </c>
      <c r="C15" s="24" t="s">
        <v>16</v>
      </c>
      <c r="D15" s="27">
        <v>8</v>
      </c>
      <c r="E15" s="93"/>
      <c r="F15" s="93">
        <f>4331.36*(1.184419)</f>
        <v>5130.1450798400001</v>
      </c>
      <c r="G15" s="93"/>
      <c r="H15" s="104">
        <f>F15</f>
        <v>5130.1450798400001</v>
      </c>
      <c r="I15" s="105">
        <f t="shared" si="2"/>
        <v>41041.160638720001</v>
      </c>
    </row>
    <row r="16" spans="1:10" ht="28.2" customHeight="1" thickBot="1" x14ac:dyDescent="0.35">
      <c r="A16" s="23" t="s">
        <v>33</v>
      </c>
      <c r="B16" s="26" t="s">
        <v>34</v>
      </c>
      <c r="C16" s="24" t="s">
        <v>16</v>
      </c>
      <c r="D16" s="27">
        <v>8</v>
      </c>
      <c r="E16" s="93">
        <f>164.15*(1.184419)</f>
        <v>194.42237885000003</v>
      </c>
      <c r="F16" s="93">
        <f>3633.47*(1.184419)</f>
        <v>4303.5509039300005</v>
      </c>
      <c r="G16" s="93">
        <f>139.64*(1.184419)</f>
        <v>165.39226916000001</v>
      </c>
      <c r="H16" s="104">
        <f t="shared" si="1"/>
        <v>4663.3655519400008</v>
      </c>
      <c r="I16" s="105">
        <f t="shared" si="2"/>
        <v>37306.924415520007</v>
      </c>
    </row>
    <row r="17" spans="1:9" ht="28.2" customHeight="1" thickBot="1" x14ac:dyDescent="0.35">
      <c r="A17" s="23" t="s">
        <v>35</v>
      </c>
      <c r="B17" s="26" t="s">
        <v>36</v>
      </c>
      <c r="C17" s="24" t="s">
        <v>16</v>
      </c>
      <c r="D17" s="27">
        <v>8</v>
      </c>
      <c r="E17" s="93">
        <f>164.15*(1.184419)</f>
        <v>194.42237885000003</v>
      </c>
      <c r="F17" s="93">
        <f>4884.75*(1.184419)</f>
        <v>5785.5907102500005</v>
      </c>
      <c r="G17" s="93">
        <f>139.64*(1.184419)</f>
        <v>165.39226916000001</v>
      </c>
      <c r="H17" s="104">
        <f t="shared" si="1"/>
        <v>6145.4053582600009</v>
      </c>
      <c r="I17" s="105">
        <f t="shared" si="2"/>
        <v>49163.242866080007</v>
      </c>
    </row>
    <row r="18" spans="1:9" ht="28.2" customHeight="1" thickBot="1" x14ac:dyDescent="0.35">
      <c r="A18" s="23" t="s">
        <v>37</v>
      </c>
      <c r="B18" s="26" t="s">
        <v>38</v>
      </c>
      <c r="C18" s="24" t="s">
        <v>29</v>
      </c>
      <c r="D18" s="28">
        <v>1760</v>
      </c>
      <c r="E18" s="93">
        <f>5.78*(1.184419)</f>
        <v>6.8459418200000011</v>
      </c>
      <c r="F18" s="93">
        <f>24.59*(1.184419)</f>
        <v>29.124863210000001</v>
      </c>
      <c r="G18" s="93">
        <f>1.71*(1.184419)</f>
        <v>2.0253564900000001</v>
      </c>
      <c r="H18" s="104">
        <f t="shared" si="1"/>
        <v>37.996161520000001</v>
      </c>
      <c r="I18" s="105">
        <f t="shared" si="2"/>
        <v>66873.244275200006</v>
      </c>
    </row>
    <row r="19" spans="1:9" ht="28.2" customHeight="1" thickBot="1" x14ac:dyDescent="0.35">
      <c r="A19" s="23" t="s">
        <v>39</v>
      </c>
      <c r="B19" s="26" t="s">
        <v>40</v>
      </c>
      <c r="C19" s="24" t="s">
        <v>29</v>
      </c>
      <c r="D19" s="28">
        <v>3520</v>
      </c>
      <c r="E19" s="93">
        <f>5.78*(1.184419)</f>
        <v>6.8459418200000011</v>
      </c>
      <c r="F19" s="93">
        <f>17.92*(1.184419)</f>
        <v>21.224788480000004</v>
      </c>
      <c r="G19" s="93">
        <f>1.71*(1.184419)</f>
        <v>2.0253564900000001</v>
      </c>
      <c r="H19" s="104">
        <f t="shared" si="1"/>
        <v>30.096086790000005</v>
      </c>
      <c r="I19" s="105">
        <f t="shared" si="2"/>
        <v>105938.22550080002</v>
      </c>
    </row>
    <row r="20" spans="1:9" ht="28.2" customHeight="1" thickBot="1" x14ac:dyDescent="0.35">
      <c r="A20" s="23" t="s">
        <v>41</v>
      </c>
      <c r="B20" s="26" t="s">
        <v>42</v>
      </c>
      <c r="C20" s="24" t="s">
        <v>16</v>
      </c>
      <c r="D20" s="27">
        <v>3</v>
      </c>
      <c r="E20" s="93">
        <f>164.15*(1.184419)</f>
        <v>194.42237885000003</v>
      </c>
      <c r="F20" s="93">
        <f>4012.12*(1.184419)</f>
        <v>4752.0311582800005</v>
      </c>
      <c r="G20" s="93">
        <f>130.33*(1.184419)</f>
        <v>154.36532827000002</v>
      </c>
      <c r="H20" s="104">
        <f t="shared" si="1"/>
        <v>5100.8188654000005</v>
      </c>
      <c r="I20" s="105">
        <f t="shared" si="2"/>
        <v>15302.456596200002</v>
      </c>
    </row>
    <row r="21" spans="1:9" ht="28.2" customHeight="1" thickBot="1" x14ac:dyDescent="0.35">
      <c r="A21" s="23" t="s">
        <v>43</v>
      </c>
      <c r="B21" s="26" t="s">
        <v>44</v>
      </c>
      <c r="C21" s="24" t="s">
        <v>16</v>
      </c>
      <c r="D21" s="27">
        <v>3</v>
      </c>
      <c r="E21" s="93">
        <f>164.15*(1.184419)</f>
        <v>194.42237885000003</v>
      </c>
      <c r="F21" s="93">
        <f>1805.57*(1.184419)</f>
        <v>2138.55141383</v>
      </c>
      <c r="G21" s="93">
        <f>130.33*(1.184419)</f>
        <v>154.36532827000002</v>
      </c>
      <c r="H21" s="104">
        <f t="shared" si="1"/>
        <v>2487.3391209500001</v>
      </c>
      <c r="I21" s="105">
        <f t="shared" si="2"/>
        <v>7462.0173628499997</v>
      </c>
    </row>
    <row r="22" spans="1:9" ht="15" thickBot="1" x14ac:dyDescent="0.35">
      <c r="A22" s="30"/>
      <c r="B22" s="26"/>
      <c r="C22" s="26"/>
      <c r="D22" s="26"/>
      <c r="E22" s="93"/>
      <c r="F22" s="93"/>
      <c r="G22" s="93"/>
      <c r="H22" s="104"/>
      <c r="I22" s="105"/>
    </row>
    <row r="23" spans="1:9" ht="15" thickBot="1" x14ac:dyDescent="0.35">
      <c r="A23" s="18" t="s">
        <v>45</v>
      </c>
      <c r="B23" s="20" t="s">
        <v>46</v>
      </c>
      <c r="C23" s="19"/>
      <c r="D23" s="19"/>
      <c r="E23" s="19"/>
      <c r="F23" s="19"/>
      <c r="G23" s="19"/>
      <c r="H23" s="106"/>
      <c r="I23" s="114">
        <f>SUM(I24:I36)</f>
        <v>217155.54861488001</v>
      </c>
    </row>
    <row r="24" spans="1:9" ht="28.2" customHeight="1" thickBot="1" x14ac:dyDescent="0.35">
      <c r="A24" s="23" t="s">
        <v>47</v>
      </c>
      <c r="B24" s="26" t="s">
        <v>48</v>
      </c>
      <c r="C24" s="24" t="s">
        <v>49</v>
      </c>
      <c r="D24" s="27">
        <v>1</v>
      </c>
      <c r="E24" s="93">
        <f>1549.01*(1.184419)</f>
        <v>1834.6768751900001</v>
      </c>
      <c r="F24" s="93">
        <f>5319.64*(1.184419)</f>
        <v>6300.6826891600012</v>
      </c>
      <c r="G24" s="93">
        <f>479.65*(1.184419)</f>
        <v>568.10657335000008</v>
      </c>
      <c r="H24" s="104">
        <f t="shared" si="1"/>
        <v>8703.4661377000011</v>
      </c>
      <c r="I24" s="105">
        <f t="shared" si="2"/>
        <v>8703.4661377000011</v>
      </c>
    </row>
    <row r="25" spans="1:9" ht="28.2" customHeight="1" thickBot="1" x14ac:dyDescent="0.35">
      <c r="A25" s="23" t="s">
        <v>50</v>
      </c>
      <c r="B25" s="26" t="s">
        <v>51</v>
      </c>
      <c r="C25" s="24" t="s">
        <v>49</v>
      </c>
      <c r="D25" s="27">
        <v>1</v>
      </c>
      <c r="E25" s="93">
        <f>7455.65*(1.184419)</f>
        <v>8830.6135173500006</v>
      </c>
      <c r="F25" s="93">
        <f>1975.34*(1.184419)</f>
        <v>2339.6302274600002</v>
      </c>
      <c r="G25" s="93">
        <f>157.76*(1.184419)</f>
        <v>186.85394144</v>
      </c>
      <c r="H25" s="104">
        <f t="shared" si="1"/>
        <v>11357.097686250001</v>
      </c>
      <c r="I25" s="105">
        <f t="shared" si="2"/>
        <v>11357.097686250001</v>
      </c>
    </row>
    <row r="26" spans="1:9" ht="28.2" thickBot="1" x14ac:dyDescent="0.35">
      <c r="A26" s="23" t="s">
        <v>52</v>
      </c>
      <c r="B26" s="26" t="s">
        <v>53</v>
      </c>
      <c r="C26" s="24" t="s">
        <v>54</v>
      </c>
      <c r="D26" s="27">
        <v>16</v>
      </c>
      <c r="E26" s="93">
        <f>972.88*(1.184419)</f>
        <v>1152.2975567200001</v>
      </c>
      <c r="F26" s="93">
        <f>133.17*(1.184419)</f>
        <v>157.72907823</v>
      </c>
      <c r="G26" s="93"/>
      <c r="H26" s="104">
        <f>E26+F26</f>
        <v>1310.02663495</v>
      </c>
      <c r="I26" s="105">
        <f t="shared" si="2"/>
        <v>20960.4261592</v>
      </c>
    </row>
    <row r="27" spans="1:9" ht="42" thickBot="1" x14ac:dyDescent="0.35">
      <c r="A27" s="23" t="s">
        <v>55</v>
      </c>
      <c r="B27" s="26" t="s">
        <v>56</v>
      </c>
      <c r="C27" s="24" t="s">
        <v>54</v>
      </c>
      <c r="D27" s="27">
        <v>8</v>
      </c>
      <c r="E27" s="93">
        <f>943.5*(1.184419)</f>
        <v>1117.4993265000001</v>
      </c>
      <c r="F27" s="93">
        <f>133.17*(1.184419)</f>
        <v>157.72907823</v>
      </c>
      <c r="G27" s="93"/>
      <c r="H27" s="104">
        <f>E27+F27</f>
        <v>1275.22840473</v>
      </c>
      <c r="I27" s="105">
        <f t="shared" ref="I27:I28" si="3">H27*D27</f>
        <v>10201.82723784</v>
      </c>
    </row>
    <row r="28" spans="1:9" ht="60.6" thickBot="1" x14ac:dyDescent="0.35">
      <c r="A28" s="23" t="s">
        <v>57</v>
      </c>
      <c r="B28" s="94" t="s">
        <v>58</v>
      </c>
      <c r="C28" s="24" t="s">
        <v>59</v>
      </c>
      <c r="D28" s="27">
        <v>16</v>
      </c>
      <c r="E28" s="93">
        <f>614.74*(1.184419)</f>
        <v>728.10973606000005</v>
      </c>
      <c r="F28" s="93"/>
      <c r="G28" s="93"/>
      <c r="H28" s="104">
        <f>E28</f>
        <v>728.10973606000005</v>
      </c>
      <c r="I28" s="105">
        <f t="shared" si="3"/>
        <v>11649.755776960001</v>
      </c>
    </row>
    <row r="29" spans="1:9" ht="15" thickBot="1" x14ac:dyDescent="0.35">
      <c r="A29" s="23" t="s">
        <v>60</v>
      </c>
      <c r="B29" s="26" t="s">
        <v>61</v>
      </c>
      <c r="C29" s="24" t="s">
        <v>54</v>
      </c>
      <c r="D29" s="27">
        <v>16</v>
      </c>
      <c r="E29" s="93">
        <f>617.44*(1.184419)</f>
        <v>731.3076673600001</v>
      </c>
      <c r="F29" s="93">
        <f>79.42*(1.184419)</f>
        <v>94.066556980000016</v>
      </c>
      <c r="G29" s="93"/>
      <c r="H29" s="104">
        <f t="shared" ref="H29:H30" si="4">E29+F29</f>
        <v>825.37422434000007</v>
      </c>
      <c r="I29" s="105">
        <f t="shared" ref="I29:I30" si="5">H29*D29</f>
        <v>13205.987589440001</v>
      </c>
    </row>
    <row r="30" spans="1:9" ht="15" thickBot="1" x14ac:dyDescent="0.35">
      <c r="A30" s="23" t="s">
        <v>62</v>
      </c>
      <c r="B30" s="26" t="s">
        <v>63</v>
      </c>
      <c r="C30" s="24" t="s">
        <v>54</v>
      </c>
      <c r="D30" s="27">
        <v>8</v>
      </c>
      <c r="E30" s="93">
        <f>548.44*(1.184419)</f>
        <v>649.58275636000008</v>
      </c>
      <c r="F30" s="93">
        <f>26.48*(1.184419)</f>
        <v>31.363415120000003</v>
      </c>
      <c r="G30" s="93"/>
      <c r="H30" s="104">
        <f t="shared" si="4"/>
        <v>680.94617148000009</v>
      </c>
      <c r="I30" s="105">
        <f t="shared" si="5"/>
        <v>5447.5693718400007</v>
      </c>
    </row>
    <row r="31" spans="1:9" ht="15" thickBot="1" x14ac:dyDescent="0.35">
      <c r="A31" s="23" t="s">
        <v>64</v>
      </c>
      <c r="B31" s="26" t="s">
        <v>65</v>
      </c>
      <c r="C31" s="24" t="s">
        <v>66</v>
      </c>
      <c r="D31" s="27">
        <v>40</v>
      </c>
      <c r="E31" s="93">
        <f>55.4*(1.184419)</f>
        <v>65.616812600000003</v>
      </c>
      <c r="F31" s="93">
        <f>51.87*(1.184419)</f>
        <v>61.435813530000004</v>
      </c>
      <c r="G31" s="93"/>
      <c r="H31" s="104">
        <f t="shared" ref="H31" si="6">E31+F31</f>
        <v>127.05262613000001</v>
      </c>
      <c r="I31" s="105">
        <f t="shared" ref="I31" si="7">H31*D31</f>
        <v>5082.1050451999999</v>
      </c>
    </row>
    <row r="32" spans="1:9" ht="15" thickBot="1" x14ac:dyDescent="0.35">
      <c r="A32" s="23" t="s">
        <v>67</v>
      </c>
      <c r="B32" s="26" t="s">
        <v>68</v>
      </c>
      <c r="C32" s="24" t="s">
        <v>66</v>
      </c>
      <c r="D32" s="27">
        <v>350</v>
      </c>
      <c r="E32" s="93">
        <f>122.51*(1.184419)</f>
        <v>145.10317169000001</v>
      </c>
      <c r="F32" s="93">
        <f>17.84*(1.184419)</f>
        <v>21.130034960000003</v>
      </c>
      <c r="G32" s="93">
        <f>1.31*(1.184419)</f>
        <v>1.5515888900000001</v>
      </c>
      <c r="H32" s="104">
        <f t="shared" si="1"/>
        <v>167.78479554</v>
      </c>
      <c r="I32" s="105">
        <f t="shared" si="2"/>
        <v>58724.678439000003</v>
      </c>
    </row>
    <row r="33" spans="1:9" ht="28.2" thickBot="1" x14ac:dyDescent="0.35">
      <c r="A33" s="23" t="s">
        <v>69</v>
      </c>
      <c r="B33" s="26" t="s">
        <v>70</v>
      </c>
      <c r="C33" s="24" t="s">
        <v>66</v>
      </c>
      <c r="D33" s="27">
        <v>50</v>
      </c>
      <c r="E33" s="93">
        <f>248.61*(1.184419)</f>
        <v>294.45840759000004</v>
      </c>
      <c r="F33" s="93">
        <f>60.99*(1.184419)</f>
        <v>72.237714810000014</v>
      </c>
      <c r="G33" s="93">
        <f>5.1*(1.184419)</f>
        <v>6.0405369000000002</v>
      </c>
      <c r="H33" s="104">
        <f t="shared" si="1"/>
        <v>372.73665930000004</v>
      </c>
      <c r="I33" s="105">
        <f t="shared" si="2"/>
        <v>18636.832965000001</v>
      </c>
    </row>
    <row r="34" spans="1:9" ht="42" thickBot="1" x14ac:dyDescent="0.35">
      <c r="A34" s="23" t="s">
        <v>71</v>
      </c>
      <c r="B34" s="26" t="s">
        <v>72</v>
      </c>
      <c r="C34" s="24" t="s">
        <v>66</v>
      </c>
      <c r="D34" s="27">
        <v>50</v>
      </c>
      <c r="E34" s="93">
        <f>395.46*(1.184419)</f>
        <v>468.39033774000001</v>
      </c>
      <c r="F34" s="93">
        <f>100.74*(1.184419)</f>
        <v>119.31837006000001</v>
      </c>
      <c r="G34" s="93">
        <f>8.5*(1.184419)</f>
        <v>10.0675615</v>
      </c>
      <c r="H34" s="104">
        <f t="shared" si="1"/>
        <v>597.77626929999997</v>
      </c>
      <c r="I34" s="105">
        <f t="shared" si="2"/>
        <v>29888.813464999999</v>
      </c>
    </row>
    <row r="35" spans="1:9" ht="15" thickBot="1" x14ac:dyDescent="0.35">
      <c r="A35" s="23" t="s">
        <v>73</v>
      </c>
      <c r="B35" s="26" t="s">
        <v>74</v>
      </c>
      <c r="C35" s="24" t="s">
        <v>16</v>
      </c>
      <c r="D35" s="27">
        <v>4</v>
      </c>
      <c r="E35" s="93">
        <f>4493.9*(1.184419)</f>
        <v>5322.6605441000002</v>
      </c>
      <c r="F35" s="93"/>
      <c r="G35" s="93"/>
      <c r="H35" s="104">
        <f>E35</f>
        <v>5322.6605441000002</v>
      </c>
      <c r="I35" s="105">
        <f t="shared" si="2"/>
        <v>21290.642176400001</v>
      </c>
    </row>
    <row r="36" spans="1:9" ht="15" thickBot="1" x14ac:dyDescent="0.35">
      <c r="A36" s="23" t="s">
        <v>75</v>
      </c>
      <c r="B36" s="26" t="s">
        <v>76</v>
      </c>
      <c r="C36" s="24" t="s">
        <v>66</v>
      </c>
      <c r="D36" s="27">
        <v>1</v>
      </c>
      <c r="E36" s="93">
        <f>719.34*(1.184419)</f>
        <v>851.99996346000012</v>
      </c>
      <c r="F36" s="93">
        <f>878.6*(1.184419)</f>
        <v>1040.6305334000001</v>
      </c>
      <c r="G36" s="93">
        <f>96.01*(1.184419)</f>
        <v>113.71606819000002</v>
      </c>
      <c r="H36" s="104">
        <f t="shared" si="1"/>
        <v>2006.3465650500002</v>
      </c>
      <c r="I36" s="105">
        <f t="shared" si="2"/>
        <v>2006.3465650500002</v>
      </c>
    </row>
    <row r="37" spans="1:9" ht="15" thickBot="1" x14ac:dyDescent="0.35">
      <c r="A37" s="30"/>
      <c r="B37" s="26"/>
      <c r="C37" s="26"/>
      <c r="D37" s="26"/>
      <c r="E37" s="93"/>
      <c r="F37" s="93"/>
      <c r="G37" s="93"/>
      <c r="H37" s="104"/>
      <c r="I37" s="105"/>
    </row>
    <row r="38" spans="1:9" ht="15" thickBot="1" x14ac:dyDescent="0.35">
      <c r="A38" s="18" t="s">
        <v>77</v>
      </c>
      <c r="B38" s="20" t="s">
        <v>78</v>
      </c>
      <c r="C38" s="19"/>
      <c r="D38" s="19"/>
      <c r="E38" s="19"/>
      <c r="F38" s="19"/>
      <c r="G38" s="19"/>
      <c r="H38" s="106"/>
      <c r="I38" s="114">
        <f>I39+I40+I41</f>
        <v>60325.622068730008</v>
      </c>
    </row>
    <row r="39" spans="1:9" ht="42" thickBot="1" x14ac:dyDescent="0.35">
      <c r="A39" s="23" t="s">
        <v>79</v>
      </c>
      <c r="B39" s="26" t="s">
        <v>80</v>
      </c>
      <c r="C39" s="24" t="s">
        <v>81</v>
      </c>
      <c r="D39" s="27">
        <v>800</v>
      </c>
      <c r="E39" s="93"/>
      <c r="F39" s="93"/>
      <c r="G39" s="93">
        <f>20*(1.184419)</f>
        <v>23.688380000000002</v>
      </c>
      <c r="H39" s="104">
        <f t="shared" si="1"/>
        <v>23.688380000000002</v>
      </c>
      <c r="I39" s="105">
        <f t="shared" si="2"/>
        <v>18950.704000000002</v>
      </c>
    </row>
    <row r="40" spans="1:9" ht="28.2" thickBot="1" x14ac:dyDescent="0.35">
      <c r="A40" s="23" t="s">
        <v>82</v>
      </c>
      <c r="B40" s="26" t="s">
        <v>83</v>
      </c>
      <c r="C40" s="24" t="s">
        <v>49</v>
      </c>
      <c r="D40" s="27">
        <v>1</v>
      </c>
      <c r="E40" s="93">
        <f>9878*(1.184419)</f>
        <v>11699.690882000001</v>
      </c>
      <c r="F40" s="93">
        <f>518.57*(1.184419)</f>
        <v>614.20416083000009</v>
      </c>
      <c r="G40" s="93">
        <f>36.1*(1.184419)</f>
        <v>42.757525900000005</v>
      </c>
      <c r="H40" s="104">
        <f t="shared" si="1"/>
        <v>12356.652568730002</v>
      </c>
      <c r="I40" s="105">
        <f t="shared" si="2"/>
        <v>12356.652568730002</v>
      </c>
    </row>
    <row r="41" spans="1:9" ht="15" thickBot="1" x14ac:dyDescent="0.35">
      <c r="A41" s="23" t="s">
        <v>84</v>
      </c>
      <c r="B41" s="26" t="s">
        <v>85</v>
      </c>
      <c r="C41" s="24" t="s">
        <v>49</v>
      </c>
      <c r="D41" s="27">
        <v>70</v>
      </c>
      <c r="E41" s="93">
        <f>350*(1.184419)</f>
        <v>414.54665000000006</v>
      </c>
      <c r="F41" s="93"/>
      <c r="G41" s="93"/>
      <c r="H41" s="104">
        <f t="shared" si="1"/>
        <v>414.54665000000006</v>
      </c>
      <c r="I41" s="105">
        <f t="shared" si="2"/>
        <v>29018.265500000005</v>
      </c>
    </row>
    <row r="42" spans="1:9" ht="15" thickBot="1" x14ac:dyDescent="0.35">
      <c r="A42" s="30"/>
      <c r="B42" s="26"/>
      <c r="C42" s="26"/>
      <c r="D42" s="26"/>
      <c r="E42" s="93"/>
      <c r="F42" s="93"/>
      <c r="G42" s="93"/>
      <c r="H42" s="104">
        <f t="shared" si="1"/>
        <v>0</v>
      </c>
      <c r="I42" s="105">
        <f t="shared" si="2"/>
        <v>0</v>
      </c>
    </row>
    <row r="43" spans="1:9" ht="15" thickBot="1" x14ac:dyDescent="0.35">
      <c r="A43" s="18" t="s">
        <v>86</v>
      </c>
      <c r="B43" s="20" t="s">
        <v>87</v>
      </c>
      <c r="C43" s="19"/>
      <c r="D43" s="19"/>
      <c r="E43" s="19"/>
      <c r="F43" s="19"/>
      <c r="G43" s="19"/>
      <c r="H43" s="19"/>
      <c r="I43" s="115">
        <f>SUM(I44:I47)</f>
        <v>106981.43806762001</v>
      </c>
    </row>
    <row r="44" spans="1:9" ht="15" thickBot="1" x14ac:dyDescent="0.35">
      <c r="A44" s="23" t="s">
        <v>88</v>
      </c>
      <c r="B44" s="26" t="s">
        <v>89</v>
      </c>
      <c r="C44" s="24" t="s">
        <v>90</v>
      </c>
      <c r="D44" s="27">
        <v>1</v>
      </c>
      <c r="E44" s="93">
        <f>8195.9*(1.184419)</f>
        <v>9707.3796820999996</v>
      </c>
      <c r="F44" s="93"/>
      <c r="G44" s="93"/>
      <c r="H44" s="104">
        <f t="shared" si="1"/>
        <v>9707.3796820999996</v>
      </c>
      <c r="I44" s="105">
        <f t="shared" si="2"/>
        <v>9707.3796820999996</v>
      </c>
    </row>
    <row r="45" spans="1:9" ht="28.2" thickBot="1" x14ac:dyDescent="0.35">
      <c r="A45" s="23" t="s">
        <v>91</v>
      </c>
      <c r="B45" s="26" t="s">
        <v>92</v>
      </c>
      <c r="C45" s="24" t="s">
        <v>93</v>
      </c>
      <c r="D45" s="27">
        <v>40</v>
      </c>
      <c r="E45" s="93"/>
      <c r="F45" s="93">
        <f>425.53*(1.184419)</f>
        <v>504.00581707000003</v>
      </c>
      <c r="G45" s="93"/>
      <c r="H45" s="104">
        <f t="shared" si="1"/>
        <v>504.00581707000003</v>
      </c>
      <c r="I45" s="105">
        <f t="shared" si="2"/>
        <v>20160.2326828</v>
      </c>
    </row>
    <row r="46" spans="1:9" ht="36" customHeight="1" thickBot="1" x14ac:dyDescent="0.35">
      <c r="A46" s="23" t="s">
        <v>94</v>
      </c>
      <c r="B46" s="26" t="s">
        <v>95</v>
      </c>
      <c r="C46" s="24" t="s">
        <v>16</v>
      </c>
      <c r="D46" s="27">
        <v>2</v>
      </c>
      <c r="E46" s="93"/>
      <c r="F46" s="93">
        <f>23582.24*(1.184419)</f>
        <v>27931.253118560006</v>
      </c>
      <c r="G46" s="93"/>
      <c r="H46" s="104">
        <f t="shared" si="1"/>
        <v>27931.253118560006</v>
      </c>
      <c r="I46" s="105">
        <f t="shared" si="2"/>
        <v>55862.506237120011</v>
      </c>
    </row>
    <row r="47" spans="1:9" ht="47.4" customHeight="1" thickBot="1" x14ac:dyDescent="0.35">
      <c r="A47" s="23" t="s">
        <v>96</v>
      </c>
      <c r="B47" s="26" t="s">
        <v>97</v>
      </c>
      <c r="C47" s="24" t="s">
        <v>98</v>
      </c>
      <c r="D47" s="27">
        <v>576</v>
      </c>
      <c r="E47" s="93">
        <f>31.15*(1.184419)</f>
        <v>36.894651850000002</v>
      </c>
      <c r="F47" s="93"/>
      <c r="G47" s="93"/>
      <c r="H47" s="104">
        <f t="shared" si="1"/>
        <v>36.894651850000002</v>
      </c>
      <c r="I47" s="105">
        <f t="shared" si="2"/>
        <v>21251.319465600001</v>
      </c>
    </row>
    <row r="48" spans="1:9" ht="15" thickBot="1" x14ac:dyDescent="0.35">
      <c r="A48" s="30"/>
      <c r="B48" s="26"/>
      <c r="C48" s="26"/>
      <c r="D48" s="26"/>
      <c r="E48" s="93"/>
      <c r="F48" s="93"/>
      <c r="G48" s="93"/>
      <c r="H48" s="104"/>
      <c r="I48" s="105"/>
    </row>
    <row r="49" spans="1:9" ht="15" thickBot="1" x14ac:dyDescent="0.35">
      <c r="A49" s="18" t="s">
        <v>99</v>
      </c>
      <c r="B49" s="20" t="s">
        <v>100</v>
      </c>
      <c r="C49" s="19"/>
      <c r="D49" s="19"/>
      <c r="E49" s="19"/>
      <c r="F49" s="19"/>
      <c r="G49" s="19"/>
      <c r="H49" s="19"/>
      <c r="I49" s="115">
        <f>SUM(I50:I61)</f>
        <v>843552.95708109019</v>
      </c>
    </row>
    <row r="50" spans="1:9" ht="28.2" thickBot="1" x14ac:dyDescent="0.35">
      <c r="A50" s="23" t="s">
        <v>101</v>
      </c>
      <c r="B50" s="31" t="s">
        <v>102</v>
      </c>
      <c r="C50" s="24" t="s">
        <v>103</v>
      </c>
      <c r="D50" s="32">
        <v>206.94</v>
      </c>
      <c r="E50" s="93">
        <f>204.67*(1.184419)</f>
        <v>242.41503673</v>
      </c>
      <c r="F50" s="93">
        <f>77.79*(1.184419)</f>
        <v>92.13595401000002</v>
      </c>
      <c r="G50" s="93"/>
      <c r="H50" s="104">
        <f t="shared" si="1"/>
        <v>334.55099074000003</v>
      </c>
      <c r="I50" s="105">
        <f t="shared" si="2"/>
        <v>69231.982023735603</v>
      </c>
    </row>
    <row r="51" spans="1:9" ht="28.2" thickBot="1" x14ac:dyDescent="0.35">
      <c r="A51" s="23" t="s">
        <v>104</v>
      </c>
      <c r="B51" s="31" t="s">
        <v>105</v>
      </c>
      <c r="C51" s="24" t="s">
        <v>103</v>
      </c>
      <c r="D51" s="32">
        <v>724.41</v>
      </c>
      <c r="E51" s="93">
        <f>92.69*(1.184419)</f>
        <v>109.78379711000001</v>
      </c>
      <c r="F51" s="93">
        <f>231.72*(1.184419)</f>
        <v>274.45357068000004</v>
      </c>
      <c r="G51" s="93">
        <f>26.45*(1.184419)</f>
        <v>31.327882550000002</v>
      </c>
      <c r="H51" s="104">
        <f t="shared" si="1"/>
        <v>415.56525034000009</v>
      </c>
      <c r="I51" s="105">
        <f t="shared" si="2"/>
        <v>301039.62299879943</v>
      </c>
    </row>
    <row r="52" spans="1:9" ht="28.2" thickBot="1" x14ac:dyDescent="0.35">
      <c r="A52" s="23" t="s">
        <v>106</v>
      </c>
      <c r="B52" s="31" t="s">
        <v>107</v>
      </c>
      <c r="C52" s="24" t="s">
        <v>103</v>
      </c>
      <c r="D52" s="32">
        <v>619.62</v>
      </c>
      <c r="E52" s="93">
        <f>14.42*(1.184419)</f>
        <v>17.079321980000003</v>
      </c>
      <c r="F52" s="93">
        <f>10.53*(1.184419)</f>
        <v>12.471932070000001</v>
      </c>
      <c r="G52" s="93">
        <f>32.64*(1.184419)</f>
        <v>38.659436160000006</v>
      </c>
      <c r="H52" s="104">
        <f t="shared" si="1"/>
        <v>68.21069021000001</v>
      </c>
      <c r="I52" s="105">
        <f t="shared" si="2"/>
        <v>42264.70786792021</v>
      </c>
    </row>
    <row r="53" spans="1:9" ht="28.2" thickBot="1" x14ac:dyDescent="0.35">
      <c r="A53" s="23" t="s">
        <v>108</v>
      </c>
      <c r="B53" s="31" t="s">
        <v>109</v>
      </c>
      <c r="C53" s="24" t="s">
        <v>66</v>
      </c>
      <c r="D53" s="32">
        <v>96</v>
      </c>
      <c r="E53" s="93">
        <f>15.58*(1.184419)</f>
        <v>18.45324802</v>
      </c>
      <c r="F53" s="93">
        <f>21.09*(1.184419)</f>
        <v>24.979396710000003</v>
      </c>
      <c r="G53" s="93">
        <f>1.89*(1.184419)</f>
        <v>2.23855191</v>
      </c>
      <c r="H53" s="104">
        <f t="shared" si="1"/>
        <v>45.671196640000005</v>
      </c>
      <c r="I53" s="105">
        <f t="shared" si="2"/>
        <v>4384.4348774400005</v>
      </c>
    </row>
    <row r="54" spans="1:9" ht="28.2" thickBot="1" x14ac:dyDescent="0.35">
      <c r="A54" s="23" t="s">
        <v>110</v>
      </c>
      <c r="B54" s="31" t="s">
        <v>111</v>
      </c>
      <c r="C54" s="24" t="s">
        <v>66</v>
      </c>
      <c r="D54" s="32">
        <v>165.9</v>
      </c>
      <c r="E54" s="93">
        <f>2.26*(1.184419)</f>
        <v>2.6767869399999999</v>
      </c>
      <c r="F54" s="93">
        <f>7.61*(1.184419)</f>
        <v>9.013428590000002</v>
      </c>
      <c r="G54" s="93">
        <f>0.68*(1.184419)</f>
        <v>0.80540492000000008</v>
      </c>
      <c r="H54" s="104">
        <f t="shared" si="1"/>
        <v>12.495620450000002</v>
      </c>
      <c r="I54" s="105">
        <f t="shared" si="2"/>
        <v>2073.0234326550003</v>
      </c>
    </row>
    <row r="55" spans="1:9" ht="28.2" thickBot="1" x14ac:dyDescent="0.35">
      <c r="A55" s="23" t="s">
        <v>112</v>
      </c>
      <c r="B55" s="31" t="s">
        <v>113</v>
      </c>
      <c r="C55" s="24" t="s">
        <v>49</v>
      </c>
      <c r="D55" s="32">
        <v>40</v>
      </c>
      <c r="E55" s="93">
        <f>3.01*(1.184419)</f>
        <v>3.56510119</v>
      </c>
      <c r="F55" s="93">
        <f>10.11*(1.184419)</f>
        <v>11.97447609</v>
      </c>
      <c r="G55" s="93">
        <f>0.81*(1.184419)</f>
        <v>0.95937939000000017</v>
      </c>
      <c r="H55" s="104">
        <f t="shared" si="1"/>
        <v>16.498956669999998</v>
      </c>
      <c r="I55" s="105">
        <f t="shared" si="2"/>
        <v>659.95826679999993</v>
      </c>
    </row>
    <row r="56" spans="1:9" ht="42" thickBot="1" x14ac:dyDescent="0.35">
      <c r="A56" s="23" t="s">
        <v>114</v>
      </c>
      <c r="B56" s="31" t="s">
        <v>115</v>
      </c>
      <c r="C56" s="24" t="s">
        <v>66</v>
      </c>
      <c r="D56" s="33">
        <v>1199.94</v>
      </c>
      <c r="E56" s="93">
        <f>5.35*(1.184419)</f>
        <v>6.3366416499999998</v>
      </c>
      <c r="F56" s="93">
        <f>18.1*(1.184419)</f>
        <v>21.437983900000003</v>
      </c>
      <c r="G56" s="93">
        <f>1.63*(1.184419)</f>
        <v>1.93060297</v>
      </c>
      <c r="H56" s="104">
        <f t="shared" si="1"/>
        <v>29.705228520000002</v>
      </c>
      <c r="I56" s="105">
        <f t="shared" si="2"/>
        <v>35644.491910288802</v>
      </c>
    </row>
    <row r="57" spans="1:9" ht="28.2" thickBot="1" x14ac:dyDescent="0.35">
      <c r="A57" s="23" t="s">
        <v>116</v>
      </c>
      <c r="B57" s="31" t="s">
        <v>117</v>
      </c>
      <c r="C57" s="24" t="s">
        <v>66</v>
      </c>
      <c r="D57" s="33">
        <v>1199.94</v>
      </c>
      <c r="E57" s="93">
        <f>6.02*(1.184419)</f>
        <v>7.1302023800000001</v>
      </c>
      <c r="F57" s="93">
        <f>19.67*(1.184419)</f>
        <v>23.297521730000003</v>
      </c>
      <c r="G57" s="93">
        <f>1.78*(1.184419)</f>
        <v>2.1082658200000002</v>
      </c>
      <c r="H57" s="104">
        <f t="shared" si="1"/>
        <v>32.535989930000007</v>
      </c>
      <c r="I57" s="105">
        <f t="shared" si="2"/>
        <v>39041.235756604212</v>
      </c>
    </row>
    <row r="58" spans="1:9" ht="15" thickBot="1" x14ac:dyDescent="0.35">
      <c r="A58" s="23" t="s">
        <v>118</v>
      </c>
      <c r="B58" s="31" t="s">
        <v>119</v>
      </c>
      <c r="C58" s="24" t="s">
        <v>120</v>
      </c>
      <c r="D58" s="33">
        <v>2372.19</v>
      </c>
      <c r="E58" s="93">
        <f>32.98*(1.184419)</f>
        <v>39.062138619999999</v>
      </c>
      <c r="F58" s="93"/>
      <c r="G58" s="93"/>
      <c r="H58" s="104">
        <f t="shared" si="1"/>
        <v>39.062138619999999</v>
      </c>
      <c r="I58" s="105">
        <f t="shared" si="2"/>
        <v>92662.814612977803</v>
      </c>
    </row>
    <row r="59" spans="1:9" ht="42" thickBot="1" x14ac:dyDescent="0.35">
      <c r="A59" s="23" t="s">
        <v>121</v>
      </c>
      <c r="B59" s="31" t="s">
        <v>122</v>
      </c>
      <c r="C59" s="24" t="s">
        <v>103</v>
      </c>
      <c r="D59" s="33">
        <v>2372.19</v>
      </c>
      <c r="E59" s="93">
        <f>3.77*(1.184419)</f>
        <v>4.4652596300000003</v>
      </c>
      <c r="F59" s="93">
        <f>1.73*(1.184419)</f>
        <v>2.0490448700000004</v>
      </c>
      <c r="G59" s="93">
        <f>3.61*(1.184419)</f>
        <v>4.2757525900000006</v>
      </c>
      <c r="H59" s="104">
        <f t="shared" si="1"/>
        <v>10.790057090000001</v>
      </c>
      <c r="I59" s="105">
        <f t="shared" si="2"/>
        <v>25596.065528327104</v>
      </c>
    </row>
    <row r="60" spans="1:9" ht="28.2" thickBot="1" x14ac:dyDescent="0.35">
      <c r="A60" s="23" t="s">
        <v>123</v>
      </c>
      <c r="B60" s="31" t="s">
        <v>124</v>
      </c>
      <c r="C60" s="24" t="s">
        <v>125</v>
      </c>
      <c r="D60" s="33">
        <v>71165.7</v>
      </c>
      <c r="E60" s="93">
        <f>1.51*(1.184419)</f>
        <v>1.7884726900000001</v>
      </c>
      <c r="F60" s="93">
        <f>0.27*(1.184419)</f>
        <v>0.31979313000000004</v>
      </c>
      <c r="G60" s="93">
        <f>0.64*(1.184419)</f>
        <v>0.75802816000000006</v>
      </c>
      <c r="H60" s="104">
        <f t="shared" si="1"/>
        <v>2.86629398</v>
      </c>
      <c r="I60" s="105">
        <f t="shared" si="2"/>
        <v>203981.81749248601</v>
      </c>
    </row>
    <row r="61" spans="1:9" ht="42" thickBot="1" x14ac:dyDescent="0.35">
      <c r="A61" s="23" t="s">
        <v>126</v>
      </c>
      <c r="B61" s="31" t="s">
        <v>127</v>
      </c>
      <c r="C61" s="24" t="s">
        <v>125</v>
      </c>
      <c r="D61" s="33">
        <v>23721.9</v>
      </c>
      <c r="E61" s="93">
        <f>0.6*(1.184419)</f>
        <v>0.71065140000000004</v>
      </c>
      <c r="F61" s="93">
        <f>0.1*(1.184419)</f>
        <v>0.11844190000000002</v>
      </c>
      <c r="G61" s="93">
        <f>0.26*(1.184419)</f>
        <v>0.30794894000000006</v>
      </c>
      <c r="H61" s="104">
        <f t="shared" si="1"/>
        <v>1.13704224</v>
      </c>
      <c r="I61" s="105">
        <f t="shared" si="2"/>
        <v>26972.802313056</v>
      </c>
    </row>
    <row r="62" spans="1:9" ht="15" thickBot="1" x14ac:dyDescent="0.35">
      <c r="A62" s="30"/>
      <c r="B62" s="26"/>
      <c r="C62" s="26"/>
      <c r="D62" s="26"/>
      <c r="E62" s="93"/>
      <c r="F62" s="93"/>
      <c r="G62" s="93"/>
      <c r="H62" s="104"/>
      <c r="I62" s="105"/>
    </row>
    <row r="63" spans="1:9" ht="15" thickBot="1" x14ac:dyDescent="0.35">
      <c r="A63" s="13">
        <v>2</v>
      </c>
      <c r="B63" s="15" t="s">
        <v>128</v>
      </c>
      <c r="C63" s="14"/>
      <c r="D63" s="14"/>
      <c r="E63" s="14"/>
      <c r="F63" s="14"/>
      <c r="G63" s="14"/>
      <c r="H63" s="14"/>
      <c r="I63" s="128">
        <f>I64+I173+I414+I837+I1108+I1147+I1170</f>
        <v>11063946.142085524</v>
      </c>
    </row>
    <row r="64" spans="1:9" ht="15" thickBot="1" x14ac:dyDescent="0.35">
      <c r="A64" s="18" t="s">
        <v>129</v>
      </c>
      <c r="B64" s="20" t="s">
        <v>130</v>
      </c>
      <c r="C64" s="19"/>
      <c r="D64" s="19"/>
      <c r="E64" s="19"/>
      <c r="F64" s="19"/>
      <c r="G64" s="19"/>
      <c r="H64" s="19"/>
      <c r="I64" s="115">
        <f>SUM(I65+I68+I77+I86+I99+I111+I117+I168)</f>
        <v>4203165.2101837266</v>
      </c>
    </row>
    <row r="65" spans="1:9" ht="15.6" customHeight="1" thickBot="1" x14ac:dyDescent="0.35">
      <c r="A65" s="34" t="s">
        <v>131</v>
      </c>
      <c r="B65" s="36" t="s">
        <v>132</v>
      </c>
      <c r="C65" s="35"/>
      <c r="D65" s="35"/>
      <c r="E65" s="35"/>
      <c r="F65" s="35"/>
      <c r="G65" s="35"/>
      <c r="H65" s="35"/>
      <c r="I65" s="117">
        <f>I66</f>
        <v>15681.707560000001</v>
      </c>
    </row>
    <row r="66" spans="1:9" ht="28.2" thickBot="1" x14ac:dyDescent="0.35">
      <c r="A66" s="23" t="s">
        <v>133</v>
      </c>
      <c r="B66" s="26" t="s">
        <v>134</v>
      </c>
      <c r="C66" s="24" t="s">
        <v>135</v>
      </c>
      <c r="D66" s="27">
        <v>200</v>
      </c>
      <c r="E66" s="93">
        <f>36.28*(1.184419)</f>
        <v>42.970721320000003</v>
      </c>
      <c r="F66" s="93">
        <f>27.77*(1.184419)</f>
        <v>32.891315630000001</v>
      </c>
      <c r="G66" s="93">
        <f>2.15*(1.184419)</f>
        <v>2.5465008500000001</v>
      </c>
      <c r="H66" s="104">
        <f t="shared" si="1"/>
        <v>78.408537800000005</v>
      </c>
      <c r="I66" s="105">
        <f t="shared" si="2"/>
        <v>15681.707560000001</v>
      </c>
    </row>
    <row r="67" spans="1:9" ht="15" thickBot="1" x14ac:dyDescent="0.35">
      <c r="A67" s="30"/>
      <c r="B67" s="26"/>
      <c r="C67" s="26"/>
      <c r="D67" s="26"/>
      <c r="E67" s="93"/>
      <c r="F67" s="93"/>
      <c r="G67" s="93"/>
      <c r="H67" s="104"/>
      <c r="I67" s="105"/>
    </row>
    <row r="68" spans="1:9" ht="17.399999999999999" customHeight="1" thickBot="1" x14ac:dyDescent="0.35">
      <c r="A68" s="34" t="s">
        <v>136</v>
      </c>
      <c r="B68" s="36" t="s">
        <v>137</v>
      </c>
      <c r="C68" s="35"/>
      <c r="D68" s="35"/>
      <c r="E68" s="35"/>
      <c r="F68" s="35"/>
      <c r="G68" s="35"/>
      <c r="H68" s="35"/>
      <c r="I68" s="117">
        <f>SUM(I69:I75)</f>
        <v>456101.76285122632</v>
      </c>
    </row>
    <row r="69" spans="1:9" ht="42" thickBot="1" x14ac:dyDescent="0.35">
      <c r="A69" s="23" t="s">
        <v>138</v>
      </c>
      <c r="B69" s="31" t="s">
        <v>139</v>
      </c>
      <c r="C69" s="24" t="s">
        <v>103</v>
      </c>
      <c r="D69" s="28">
        <v>1060</v>
      </c>
      <c r="E69" s="93">
        <f>6.39*(1.184419)</f>
        <v>7.5684374100000005</v>
      </c>
      <c r="F69" s="93">
        <f>2.97*(1.184419)</f>
        <v>3.5177244300000003</v>
      </c>
      <c r="G69" s="93">
        <f>5.76*(1.184419)</f>
        <v>6.8222534400000008</v>
      </c>
      <c r="H69" s="104">
        <f t="shared" si="1"/>
        <v>17.90841528</v>
      </c>
      <c r="I69" s="105">
        <f t="shared" si="2"/>
        <v>18982.920196800002</v>
      </c>
    </row>
    <row r="70" spans="1:9" ht="28.2" thickBot="1" x14ac:dyDescent="0.35">
      <c r="A70" s="23" t="s">
        <v>140</v>
      </c>
      <c r="B70" s="26" t="s">
        <v>141</v>
      </c>
      <c r="C70" s="24" t="s">
        <v>103</v>
      </c>
      <c r="D70" s="28">
        <v>1319.43</v>
      </c>
      <c r="E70" s="93">
        <f>24.52*(1.184419)</f>
        <v>29.041953880000001</v>
      </c>
      <c r="F70" s="93">
        <f>81.2*(1.184419)</f>
        <v>96.174822800000015</v>
      </c>
      <c r="G70" s="93">
        <f>7.4*(1.184419)</f>
        <v>8.7647006000000012</v>
      </c>
      <c r="H70" s="104">
        <f t="shared" si="1"/>
        <v>133.98147728000001</v>
      </c>
      <c r="I70" s="105">
        <f t="shared" si="2"/>
        <v>176779.18056755041</v>
      </c>
    </row>
    <row r="71" spans="1:9" ht="28.2" thickBot="1" x14ac:dyDescent="0.35">
      <c r="A71" s="23" t="s">
        <v>142</v>
      </c>
      <c r="B71" s="26" t="s">
        <v>143</v>
      </c>
      <c r="C71" s="24" t="s">
        <v>103</v>
      </c>
      <c r="D71" s="28">
        <v>1055.77</v>
      </c>
      <c r="E71" s="93">
        <f>10.48*(1.184419)</f>
        <v>12.412711120000001</v>
      </c>
      <c r="F71" s="93">
        <f>26.69*(1.184419)</f>
        <v>31.612143110000005</v>
      </c>
      <c r="G71" s="93">
        <f>2.73*(1.184419)</f>
        <v>3.2334638700000005</v>
      </c>
      <c r="H71" s="104">
        <f t="shared" si="1"/>
        <v>47.258318100000004</v>
      </c>
      <c r="I71" s="105">
        <f t="shared" si="2"/>
        <v>49893.914500437</v>
      </c>
    </row>
    <row r="72" spans="1:9" ht="42" thickBot="1" x14ac:dyDescent="0.35">
      <c r="A72" s="23" t="s">
        <v>144</v>
      </c>
      <c r="B72" s="26" t="s">
        <v>122</v>
      </c>
      <c r="C72" s="24" t="s">
        <v>103</v>
      </c>
      <c r="D72" s="28">
        <v>1793.69</v>
      </c>
      <c r="E72" s="93">
        <f>3.77*(1.184419)</f>
        <v>4.4652596300000003</v>
      </c>
      <c r="F72" s="93">
        <f>1.73*(1.184419)</f>
        <v>2.0490448700000004</v>
      </c>
      <c r="G72" s="93">
        <f>3.61*(1.184419)</f>
        <v>4.2757525900000006</v>
      </c>
      <c r="H72" s="104">
        <f t="shared" ref="H72:H134" si="8">E72+F72+G72</f>
        <v>10.790057090000001</v>
      </c>
      <c r="I72" s="105">
        <f t="shared" ref="I72:I134" si="9">H72*D72</f>
        <v>19354.017501762104</v>
      </c>
    </row>
    <row r="73" spans="1:9" ht="28.2" thickBot="1" x14ac:dyDescent="0.35">
      <c r="A73" s="23" t="s">
        <v>145</v>
      </c>
      <c r="B73" s="26" t="s">
        <v>124</v>
      </c>
      <c r="C73" s="24" t="s">
        <v>125</v>
      </c>
      <c r="D73" s="28">
        <v>53810.73</v>
      </c>
      <c r="E73" s="93">
        <f>1.51*(1.184419)</f>
        <v>1.7884726900000001</v>
      </c>
      <c r="F73" s="93">
        <f>0.27*(1.184419)</f>
        <v>0.31979313000000004</v>
      </c>
      <c r="G73" s="93">
        <f>0.64*(1.184419)</f>
        <v>0.75802816000000006</v>
      </c>
      <c r="H73" s="104">
        <f t="shared" si="8"/>
        <v>2.86629398</v>
      </c>
      <c r="I73" s="105">
        <f t="shared" si="9"/>
        <v>154237.3714584054</v>
      </c>
    </row>
    <row r="74" spans="1:9" ht="42" thickBot="1" x14ac:dyDescent="0.35">
      <c r="A74" s="23" t="s">
        <v>146</v>
      </c>
      <c r="B74" s="26" t="s">
        <v>127</v>
      </c>
      <c r="C74" s="24" t="s">
        <v>125</v>
      </c>
      <c r="D74" s="28">
        <v>17936.91</v>
      </c>
      <c r="E74" s="93">
        <f>0.6*(1.184419)</f>
        <v>0.71065140000000004</v>
      </c>
      <c r="F74" s="93">
        <f>0.1*(1.184419)</f>
        <v>0.11844190000000002</v>
      </c>
      <c r="G74" s="93">
        <f>0.26*(1.184419)</f>
        <v>0.30794894000000006</v>
      </c>
      <c r="H74" s="104">
        <f t="shared" si="8"/>
        <v>1.13704224</v>
      </c>
      <c r="I74" s="105">
        <f t="shared" si="9"/>
        <v>20395.024325078401</v>
      </c>
    </row>
    <row r="75" spans="1:9" ht="15" thickBot="1" x14ac:dyDescent="0.35">
      <c r="A75" s="23" t="s">
        <v>147</v>
      </c>
      <c r="B75" s="26" t="s">
        <v>148</v>
      </c>
      <c r="C75" s="24" t="s">
        <v>66</v>
      </c>
      <c r="D75" s="27">
        <v>374.57</v>
      </c>
      <c r="E75" s="93">
        <f>8.67*(1.184419)</f>
        <v>10.26891273</v>
      </c>
      <c r="F75" s="93">
        <f>25.86*(1.184419)</f>
        <v>30.629075340000004</v>
      </c>
      <c r="G75" s="93">
        <f>2.57*(1.184419)</f>
        <v>3.0439568299999999</v>
      </c>
      <c r="H75" s="104">
        <f t="shared" si="8"/>
        <v>43.941944900000003</v>
      </c>
      <c r="I75" s="105">
        <f t="shared" si="9"/>
        <v>16459.334301193001</v>
      </c>
    </row>
    <row r="76" spans="1:9" ht="15" thickBot="1" x14ac:dyDescent="0.35">
      <c r="A76" s="30"/>
      <c r="B76" s="26"/>
      <c r="C76" s="26"/>
      <c r="D76" s="26"/>
      <c r="E76" s="93"/>
      <c r="F76" s="93"/>
      <c r="G76" s="93"/>
      <c r="H76" s="104"/>
      <c r="I76" s="105"/>
    </row>
    <row r="77" spans="1:9" ht="14.4" customHeight="1" thickBot="1" x14ac:dyDescent="0.35">
      <c r="A77" s="34" t="s">
        <v>149</v>
      </c>
      <c r="B77" s="36" t="s">
        <v>150</v>
      </c>
      <c r="C77" s="35"/>
      <c r="D77" s="35"/>
      <c r="E77" s="35"/>
      <c r="F77" s="35"/>
      <c r="G77" s="35"/>
      <c r="H77" s="35"/>
      <c r="I77" s="117">
        <f>SUM(I78:I84)</f>
        <v>142223.39842957049</v>
      </c>
    </row>
    <row r="78" spans="1:9" ht="28.2" thickBot="1" x14ac:dyDescent="0.35">
      <c r="A78" s="23" t="s">
        <v>151</v>
      </c>
      <c r="B78" s="26" t="s">
        <v>152</v>
      </c>
      <c r="C78" s="24" t="s">
        <v>153</v>
      </c>
      <c r="D78" s="27">
        <v>1</v>
      </c>
      <c r="E78" s="93">
        <f>26995.15*(1.184419)</f>
        <v>31973.568567850005</v>
      </c>
      <c r="F78" s="93"/>
      <c r="G78" s="93"/>
      <c r="H78" s="104">
        <f>E78+F78+G78</f>
        <v>31973.568567850005</v>
      </c>
      <c r="I78" s="105">
        <f t="shared" si="9"/>
        <v>31973.568567850005</v>
      </c>
    </row>
    <row r="79" spans="1:9" ht="28.2" thickBot="1" x14ac:dyDescent="0.35">
      <c r="A79" s="23" t="s">
        <v>154</v>
      </c>
      <c r="B79" s="26" t="s">
        <v>155</v>
      </c>
      <c r="C79" s="24" t="s">
        <v>135</v>
      </c>
      <c r="D79" s="27">
        <v>243</v>
      </c>
      <c r="E79" s="93">
        <f>62.11*(1.184419)</f>
        <v>73.564264090000009</v>
      </c>
      <c r="F79" s="93"/>
      <c r="G79" s="93"/>
      <c r="H79" s="104">
        <f t="shared" si="8"/>
        <v>73.564264090000009</v>
      </c>
      <c r="I79" s="105">
        <f t="shared" si="9"/>
        <v>17876.116173870003</v>
      </c>
    </row>
    <row r="80" spans="1:9" ht="28.2" thickBot="1" x14ac:dyDescent="0.35">
      <c r="A80" s="23" t="s">
        <v>156</v>
      </c>
      <c r="B80" s="26" t="s">
        <v>157</v>
      </c>
      <c r="C80" s="24" t="s">
        <v>158</v>
      </c>
      <c r="D80" s="27">
        <v>513.76</v>
      </c>
      <c r="E80" s="93">
        <f>14.64*(1.184419)</f>
        <v>17.339894160000004</v>
      </c>
      <c r="F80" s="93">
        <f>3.88*(1.184419)</f>
        <v>4.5955457200000005</v>
      </c>
      <c r="G80" s="93">
        <f>0.33*(1.184419)</f>
        <v>0.39085827000000006</v>
      </c>
      <c r="H80" s="104">
        <f t="shared" si="8"/>
        <v>22.326298150000003</v>
      </c>
      <c r="I80" s="105">
        <f t="shared" si="9"/>
        <v>11470.358937544001</v>
      </c>
    </row>
    <row r="81" spans="1:9" ht="28.2" thickBot="1" x14ac:dyDescent="0.35">
      <c r="A81" s="23" t="s">
        <v>159</v>
      </c>
      <c r="B81" s="26" t="s">
        <v>160</v>
      </c>
      <c r="C81" s="24" t="s">
        <v>158</v>
      </c>
      <c r="D81" s="28">
        <v>2268.96</v>
      </c>
      <c r="E81" s="93">
        <f>11.55*(1.184419)</f>
        <v>13.680039450000002</v>
      </c>
      <c r="F81" s="93">
        <f>1.51*(1.184419)</f>
        <v>1.7884726900000001</v>
      </c>
      <c r="G81" s="93">
        <f>0.13*(1.184419)</f>
        <v>0.15397447000000003</v>
      </c>
      <c r="H81" s="104">
        <f t="shared" si="8"/>
        <v>15.622486610000003</v>
      </c>
      <c r="I81" s="105">
        <f t="shared" si="9"/>
        <v>35446.797218625608</v>
      </c>
    </row>
    <row r="82" spans="1:9" ht="15" thickBot="1" x14ac:dyDescent="0.35">
      <c r="A82" s="23" t="s">
        <v>161</v>
      </c>
      <c r="B82" s="26" t="s">
        <v>162</v>
      </c>
      <c r="C82" s="24" t="s">
        <v>103</v>
      </c>
      <c r="D82" s="27">
        <v>68.709999999999994</v>
      </c>
      <c r="E82" s="93">
        <f>484.09*(1.184419)</f>
        <v>573.36539371000003</v>
      </c>
      <c r="F82" s="93"/>
      <c r="G82" s="93"/>
      <c r="H82" s="104">
        <f t="shared" si="8"/>
        <v>573.36539371000003</v>
      </c>
      <c r="I82" s="105">
        <f t="shared" si="9"/>
        <v>39395.936201814096</v>
      </c>
    </row>
    <row r="83" spans="1:9" ht="15" thickBot="1" x14ac:dyDescent="0.35">
      <c r="A83" s="23" t="s">
        <v>163</v>
      </c>
      <c r="B83" s="26" t="s">
        <v>164</v>
      </c>
      <c r="C83" s="24" t="s">
        <v>103</v>
      </c>
      <c r="D83" s="27">
        <v>68.709999999999994</v>
      </c>
      <c r="E83" s="93">
        <f>43.2*(1.184419)</f>
        <v>51.166900800000008</v>
      </c>
      <c r="F83" s="93">
        <f>16.26*(1.184419)</f>
        <v>19.258652940000005</v>
      </c>
      <c r="G83" s="93">
        <f>0.86*(1.184419)</f>
        <v>1.0186003400000001</v>
      </c>
      <c r="H83" s="104">
        <f t="shared" si="8"/>
        <v>71.444154080000018</v>
      </c>
      <c r="I83" s="105">
        <f t="shared" si="9"/>
        <v>4908.9278268368007</v>
      </c>
    </row>
    <row r="84" spans="1:9" ht="28.2" thickBot="1" x14ac:dyDescent="0.35">
      <c r="A84" s="23" t="s">
        <v>165</v>
      </c>
      <c r="B84" s="26" t="s">
        <v>166</v>
      </c>
      <c r="C84" s="24" t="s">
        <v>49</v>
      </c>
      <c r="D84" s="27">
        <v>29</v>
      </c>
      <c r="E84" s="93">
        <f>7.21*(1.184419)</f>
        <v>8.5396609900000016</v>
      </c>
      <c r="F84" s="93">
        <f>24.36*(1.184419)</f>
        <v>28.852446840000002</v>
      </c>
      <c r="G84" s="93">
        <f>1.96*(1.184419)</f>
        <v>2.3214612400000001</v>
      </c>
      <c r="H84" s="104">
        <f t="shared" si="8"/>
        <v>39.713569069999998</v>
      </c>
      <c r="I84" s="105">
        <f t="shared" si="9"/>
        <v>1151.6935030299999</v>
      </c>
    </row>
    <row r="85" spans="1:9" ht="15" thickBot="1" x14ac:dyDescent="0.35">
      <c r="A85" s="30"/>
      <c r="B85" s="26"/>
      <c r="C85" s="26"/>
      <c r="D85" s="26"/>
      <c r="E85" s="93"/>
      <c r="F85" s="93"/>
      <c r="G85" s="93"/>
      <c r="H85" s="104"/>
      <c r="I85" s="105"/>
    </row>
    <row r="86" spans="1:9" ht="14.4" customHeight="1" thickBot="1" x14ac:dyDescent="0.35">
      <c r="A86" s="34" t="s">
        <v>167</v>
      </c>
      <c r="B86" s="36" t="s">
        <v>168</v>
      </c>
      <c r="C86" s="35"/>
      <c r="D86" s="35"/>
      <c r="E86" s="35"/>
      <c r="F86" s="35"/>
      <c r="G86" s="35"/>
      <c r="H86" s="35"/>
      <c r="I86" s="117">
        <f>SUM(I87:I97)</f>
        <v>829882.54897107242</v>
      </c>
    </row>
    <row r="87" spans="1:9" ht="28.2" thickBot="1" x14ac:dyDescent="0.35">
      <c r="A87" s="23" t="s">
        <v>169</v>
      </c>
      <c r="B87" s="26" t="s">
        <v>170</v>
      </c>
      <c r="C87" s="24" t="s">
        <v>103</v>
      </c>
      <c r="D87" s="27">
        <v>14.58</v>
      </c>
      <c r="E87" s="93">
        <f>336.02*(1.184419)</f>
        <v>397.98847238000002</v>
      </c>
      <c r="F87" s="93">
        <f>250.63*(1.184419)</f>
        <v>296.85093397000003</v>
      </c>
      <c r="G87" s="93">
        <f>22.5*(1.184419)</f>
        <v>26.649427500000002</v>
      </c>
      <c r="H87" s="104">
        <f t="shared" si="8"/>
        <v>721.48883384999999</v>
      </c>
      <c r="I87" s="105">
        <f t="shared" si="9"/>
        <v>10519.307197533</v>
      </c>
    </row>
    <row r="88" spans="1:9" ht="28.2" thickBot="1" x14ac:dyDescent="0.35">
      <c r="A88" s="23" t="s">
        <v>171</v>
      </c>
      <c r="B88" s="26" t="s">
        <v>172</v>
      </c>
      <c r="C88" s="24" t="s">
        <v>66</v>
      </c>
      <c r="D88" s="28">
        <v>1042</v>
      </c>
      <c r="E88" s="93">
        <f>61.18*(1.184419)</f>
        <v>72.46275442000001</v>
      </c>
      <c r="F88" s="93">
        <f>36.82*(1.184419)</f>
        <v>43.610307580000004</v>
      </c>
      <c r="G88" s="93">
        <f>0.16*(1.184419)</f>
        <v>0.18950704000000002</v>
      </c>
      <c r="H88" s="104">
        <f t="shared" si="8"/>
        <v>116.26256904000002</v>
      </c>
      <c r="I88" s="105">
        <f t="shared" si="9"/>
        <v>121145.59693968002</v>
      </c>
    </row>
    <row r="89" spans="1:9" ht="28.2" thickBot="1" x14ac:dyDescent="0.35">
      <c r="A89" s="23" t="s">
        <v>173</v>
      </c>
      <c r="B89" s="26" t="s">
        <v>174</v>
      </c>
      <c r="C89" s="24" t="s">
        <v>158</v>
      </c>
      <c r="D89" s="28">
        <v>1191</v>
      </c>
      <c r="E89" s="93">
        <f>14.6*(1.184419)</f>
        <v>17.292517400000001</v>
      </c>
      <c r="F89" s="93">
        <f>5.4*(1.184419)</f>
        <v>6.395862600000001</v>
      </c>
      <c r="G89" s="93">
        <f>0.46*(1.184419)</f>
        <v>0.54483274000000004</v>
      </c>
      <c r="H89" s="104">
        <f t="shared" si="8"/>
        <v>24.233212740000003</v>
      </c>
      <c r="I89" s="105">
        <f t="shared" si="9"/>
        <v>28861.756373340002</v>
      </c>
    </row>
    <row r="90" spans="1:9" ht="28.2" thickBot="1" x14ac:dyDescent="0.35">
      <c r="A90" s="23" t="s">
        <v>175</v>
      </c>
      <c r="B90" s="26" t="s">
        <v>157</v>
      </c>
      <c r="C90" s="24" t="s">
        <v>158</v>
      </c>
      <c r="D90" s="27">
        <v>43</v>
      </c>
      <c r="E90" s="93">
        <f>14.64*(1.184419)</f>
        <v>17.339894160000004</v>
      </c>
      <c r="F90" s="93">
        <f>3.88*(1.184419)</f>
        <v>4.5955457200000005</v>
      </c>
      <c r="G90" s="93">
        <f>0.33*(1.184419)</f>
        <v>0.39085827000000006</v>
      </c>
      <c r="H90" s="104">
        <f t="shared" si="8"/>
        <v>22.326298150000003</v>
      </c>
      <c r="I90" s="105">
        <f t="shared" si="9"/>
        <v>960.03082045000008</v>
      </c>
    </row>
    <row r="91" spans="1:9" ht="28.2" thickBot="1" x14ac:dyDescent="0.35">
      <c r="A91" s="23" t="s">
        <v>176</v>
      </c>
      <c r="B91" s="26" t="s">
        <v>177</v>
      </c>
      <c r="C91" s="24" t="s">
        <v>158</v>
      </c>
      <c r="D91" s="28">
        <v>3609</v>
      </c>
      <c r="E91" s="93">
        <f>13.59*(1.184419)</f>
        <v>16.096254210000001</v>
      </c>
      <c r="F91" s="93">
        <f>2.87*(1.184419)</f>
        <v>3.3992825300000002</v>
      </c>
      <c r="G91" s="93">
        <f>0.23*(1.184419)</f>
        <v>0.27241637000000002</v>
      </c>
      <c r="H91" s="104">
        <f t="shared" si="8"/>
        <v>19.767953110000001</v>
      </c>
      <c r="I91" s="105">
        <f t="shared" si="9"/>
        <v>71342.542773990004</v>
      </c>
    </row>
    <row r="92" spans="1:9" ht="28.2" thickBot="1" x14ac:dyDescent="0.35">
      <c r="A92" s="23" t="s">
        <v>178</v>
      </c>
      <c r="B92" s="26" t="s">
        <v>179</v>
      </c>
      <c r="C92" s="24" t="s">
        <v>158</v>
      </c>
      <c r="D92" s="28">
        <v>3439</v>
      </c>
      <c r="E92" s="93">
        <f>11.76*(1.184419)</f>
        <v>13.928767440000001</v>
      </c>
      <c r="F92" s="93">
        <f>2.13*(1.184419)</f>
        <v>2.5228124700000003</v>
      </c>
      <c r="G92" s="93">
        <f>0.17*(1.184419)</f>
        <v>0.20135123000000002</v>
      </c>
      <c r="H92" s="104">
        <f t="shared" si="8"/>
        <v>16.652931140000003</v>
      </c>
      <c r="I92" s="105">
        <f t="shared" si="9"/>
        <v>57269.430190460014</v>
      </c>
    </row>
    <row r="93" spans="1:9" ht="28.2" thickBot="1" x14ac:dyDescent="0.35">
      <c r="A93" s="23" t="s">
        <v>180</v>
      </c>
      <c r="B93" s="26" t="s">
        <v>160</v>
      </c>
      <c r="C93" s="24" t="s">
        <v>158</v>
      </c>
      <c r="D93" s="28">
        <v>7661</v>
      </c>
      <c r="E93" s="93">
        <f>11.55*(1.184419)</f>
        <v>13.680039450000002</v>
      </c>
      <c r="F93" s="93">
        <f>1.51*(1.184419)</f>
        <v>1.7884726900000001</v>
      </c>
      <c r="G93" s="93">
        <f>0.13*(1.184419)</f>
        <v>0.15397447000000003</v>
      </c>
      <c r="H93" s="104">
        <f t="shared" si="8"/>
        <v>15.622486610000003</v>
      </c>
      <c r="I93" s="105">
        <f t="shared" si="9"/>
        <v>119683.86991921002</v>
      </c>
    </row>
    <row r="94" spans="1:9" ht="28.2" thickBot="1" x14ac:dyDescent="0.35">
      <c r="A94" s="23" t="s">
        <v>181</v>
      </c>
      <c r="B94" s="26" t="s">
        <v>182</v>
      </c>
      <c r="C94" s="24" t="s">
        <v>158</v>
      </c>
      <c r="D94" s="28">
        <v>12385</v>
      </c>
      <c r="E94" s="93">
        <f>13.35*(1.184419)</f>
        <v>15.811993650000002</v>
      </c>
      <c r="F94" s="93">
        <f>1.1*(1.184419)</f>
        <v>1.3028609000000002</v>
      </c>
      <c r="G94" s="93">
        <f>0.09*(1.184419)</f>
        <v>0.10659771000000001</v>
      </c>
      <c r="H94" s="104">
        <f t="shared" si="8"/>
        <v>17.22145226</v>
      </c>
      <c r="I94" s="105">
        <f t="shared" si="9"/>
        <v>213287.68624009998</v>
      </c>
    </row>
    <row r="95" spans="1:9" ht="15" thickBot="1" x14ac:dyDescent="0.35">
      <c r="A95" s="23" t="s">
        <v>183</v>
      </c>
      <c r="B95" s="26" t="s">
        <v>162</v>
      </c>
      <c r="C95" s="24" t="s">
        <v>103</v>
      </c>
      <c r="D95" s="27">
        <v>264.3</v>
      </c>
      <c r="E95" s="93">
        <f>484.09*(1.184419)</f>
        <v>573.36539371000003</v>
      </c>
      <c r="F95" s="93"/>
      <c r="G95" s="93"/>
      <c r="H95" s="104">
        <f t="shared" si="8"/>
        <v>573.36539371000003</v>
      </c>
      <c r="I95" s="105">
        <f t="shared" si="9"/>
        <v>151540.47355755302</v>
      </c>
    </row>
    <row r="96" spans="1:9" ht="42" thickBot="1" x14ac:dyDescent="0.35">
      <c r="A96" s="23" t="s">
        <v>184</v>
      </c>
      <c r="B96" s="26" t="s">
        <v>185</v>
      </c>
      <c r="C96" s="24" t="s">
        <v>103</v>
      </c>
      <c r="D96" s="27">
        <v>4.38</v>
      </c>
      <c r="E96" s="93">
        <f>513.43*(1.184419)</f>
        <v>608.11624716999995</v>
      </c>
      <c r="F96" s="93">
        <f>73.33*(1.184419)</f>
        <v>86.853445270000009</v>
      </c>
      <c r="G96" s="93">
        <f>6.14*(1.184419)</f>
        <v>7.27233266</v>
      </c>
      <c r="H96" s="104">
        <f t="shared" si="8"/>
        <v>702.24202509999998</v>
      </c>
      <c r="I96" s="105">
        <f t="shared" si="9"/>
        <v>3075.820069938</v>
      </c>
    </row>
    <row r="97" spans="1:9" ht="15" thickBot="1" x14ac:dyDescent="0.35">
      <c r="A97" s="23" t="s">
        <v>186</v>
      </c>
      <c r="B97" s="26" t="s">
        <v>187</v>
      </c>
      <c r="C97" s="24" t="s">
        <v>103</v>
      </c>
      <c r="D97" s="27">
        <v>268.68</v>
      </c>
      <c r="E97" s="93"/>
      <c r="F97" s="93">
        <f>164.02*(1.184419)</f>
        <v>194.26840438000002</v>
      </c>
      <c r="G97" s="93"/>
      <c r="H97" s="104">
        <f t="shared" si="8"/>
        <v>194.26840438000002</v>
      </c>
      <c r="I97" s="105">
        <f t="shared" si="9"/>
        <v>52196.034888818409</v>
      </c>
    </row>
    <row r="98" spans="1:9" ht="15" thickBot="1" x14ac:dyDescent="0.35">
      <c r="A98" s="30"/>
      <c r="B98" s="26"/>
      <c r="C98" s="26"/>
      <c r="D98" s="26"/>
      <c r="E98" s="93"/>
      <c r="F98" s="93"/>
      <c r="G98" s="93"/>
      <c r="H98" s="104"/>
      <c r="I98" s="105"/>
    </row>
    <row r="99" spans="1:9" ht="18.600000000000001" customHeight="1" thickBot="1" x14ac:dyDescent="0.35">
      <c r="A99" s="34" t="s">
        <v>188</v>
      </c>
      <c r="B99" s="36" t="s">
        <v>189</v>
      </c>
      <c r="C99" s="35"/>
      <c r="D99" s="35"/>
      <c r="E99" s="35"/>
      <c r="F99" s="35"/>
      <c r="G99" s="35"/>
      <c r="H99" s="35"/>
      <c r="I99" s="117">
        <f>SUM(I100:I109)</f>
        <v>164674.21135110923</v>
      </c>
    </row>
    <row r="100" spans="1:9" ht="28.2" thickBot="1" x14ac:dyDescent="0.35">
      <c r="A100" s="23" t="s">
        <v>190</v>
      </c>
      <c r="B100" s="26" t="s">
        <v>191</v>
      </c>
      <c r="C100" s="24" t="s">
        <v>158</v>
      </c>
      <c r="D100" s="28">
        <v>5108.3999999999996</v>
      </c>
      <c r="E100" s="93">
        <f>15.53*(1.184419)</f>
        <v>18.39402707</v>
      </c>
      <c r="F100" s="93">
        <f>0.4*(1.184419)</f>
        <v>0.47376760000000007</v>
      </c>
      <c r="G100" s="93">
        <f>0.14*(1.184419)</f>
        <v>0.16581866000000003</v>
      </c>
      <c r="H100" s="104">
        <f t="shared" si="8"/>
        <v>19.033613329999998</v>
      </c>
      <c r="I100" s="105">
        <f t="shared" si="9"/>
        <v>97231.31033497199</v>
      </c>
    </row>
    <row r="101" spans="1:9" ht="15" thickBot="1" x14ac:dyDescent="0.35">
      <c r="A101" s="23" t="s">
        <v>192</v>
      </c>
      <c r="B101" s="26" t="s">
        <v>193</v>
      </c>
      <c r="C101" s="24" t="s">
        <v>135</v>
      </c>
      <c r="D101" s="27">
        <v>24</v>
      </c>
      <c r="E101" s="93">
        <f>900.52*(1.184419)</f>
        <v>1066.59299788</v>
      </c>
      <c r="F101" s="93">
        <f>31.16*(1.184419)</f>
        <v>36.90649604</v>
      </c>
      <c r="G101" s="93">
        <f>2.02*(1.184419)</f>
        <v>2.3925263800000001</v>
      </c>
      <c r="H101" s="104">
        <f t="shared" si="8"/>
        <v>1105.8920203</v>
      </c>
      <c r="I101" s="105">
        <f t="shared" si="9"/>
        <v>26541.408487200002</v>
      </c>
    </row>
    <row r="102" spans="1:9" ht="15" thickBot="1" x14ac:dyDescent="0.35">
      <c r="A102" s="23" t="s">
        <v>194</v>
      </c>
      <c r="B102" s="26" t="s">
        <v>195</v>
      </c>
      <c r="C102" s="24" t="s">
        <v>49</v>
      </c>
      <c r="D102" s="27">
        <v>22</v>
      </c>
      <c r="E102" s="93">
        <f>45.16*(1.184419)</f>
        <v>53.488362039999998</v>
      </c>
      <c r="F102" s="93">
        <f>59*(1.184419)</f>
        <v>69.880721000000008</v>
      </c>
      <c r="G102" s="93">
        <f>5.84*(1.184419)</f>
        <v>6.9170069600000001</v>
      </c>
      <c r="H102" s="104">
        <f t="shared" si="8"/>
        <v>130.28609</v>
      </c>
      <c r="I102" s="105">
        <f t="shared" si="9"/>
        <v>2866.2939799999999</v>
      </c>
    </row>
    <row r="103" spans="1:9" ht="15" thickBot="1" x14ac:dyDescent="0.35">
      <c r="A103" s="23" t="s">
        <v>196</v>
      </c>
      <c r="B103" s="26" t="s">
        <v>197</v>
      </c>
      <c r="C103" s="24" t="s">
        <v>135</v>
      </c>
      <c r="D103" s="27">
        <v>22</v>
      </c>
      <c r="E103" s="93">
        <f>15.36*(1.184419)</f>
        <v>18.19267584</v>
      </c>
      <c r="F103" s="93">
        <f>2.32*(1.184419)</f>
        <v>2.7478520799999999</v>
      </c>
      <c r="G103" s="93">
        <f>0.24*(1.184419)</f>
        <v>0.28426056</v>
      </c>
      <c r="H103" s="104">
        <f t="shared" si="8"/>
        <v>21.224788480000001</v>
      </c>
      <c r="I103" s="105">
        <f t="shared" si="9"/>
        <v>466.94534656000002</v>
      </c>
    </row>
    <row r="104" spans="1:9" ht="15" thickBot="1" x14ac:dyDescent="0.35">
      <c r="A104" s="23" t="s">
        <v>198</v>
      </c>
      <c r="B104" s="26" t="s">
        <v>199</v>
      </c>
      <c r="C104" s="24" t="s">
        <v>66</v>
      </c>
      <c r="D104" s="27">
        <v>91</v>
      </c>
      <c r="E104" s="93">
        <f>188.85*(1.184419)</f>
        <v>223.67752815</v>
      </c>
      <c r="F104" s="93">
        <f>43.23*(1.184419)</f>
        <v>51.202433370000001</v>
      </c>
      <c r="G104" s="93">
        <f>21.55*(1.184419)</f>
        <v>25.524229450000004</v>
      </c>
      <c r="H104" s="104">
        <f t="shared" si="8"/>
        <v>300.40419097</v>
      </c>
      <c r="I104" s="105">
        <f t="shared" si="9"/>
        <v>27336.78137827</v>
      </c>
    </row>
    <row r="105" spans="1:9" ht="15" thickBot="1" x14ac:dyDescent="0.35">
      <c r="A105" s="23" t="s">
        <v>200</v>
      </c>
      <c r="B105" s="26" t="s">
        <v>162</v>
      </c>
      <c r="C105" s="24" t="s">
        <v>103</v>
      </c>
      <c r="D105" s="27">
        <v>4.0999999999999996</v>
      </c>
      <c r="E105" s="93">
        <f>484.09*(1.184419)</f>
        <v>573.36539371000003</v>
      </c>
      <c r="F105" s="93"/>
      <c r="G105" s="93"/>
      <c r="H105" s="104">
        <f t="shared" si="8"/>
        <v>573.36539371000003</v>
      </c>
      <c r="I105" s="105">
        <f t="shared" si="9"/>
        <v>2350.7981142109998</v>
      </c>
    </row>
    <row r="106" spans="1:9" ht="15" thickBot="1" x14ac:dyDescent="0.35">
      <c r="A106" s="23" t="s">
        <v>201</v>
      </c>
      <c r="B106" s="26" t="s">
        <v>202</v>
      </c>
      <c r="C106" s="24" t="s">
        <v>103</v>
      </c>
      <c r="D106" s="27">
        <v>4.0999999999999996</v>
      </c>
      <c r="E106" s="93"/>
      <c r="F106" s="93">
        <f>113.29*(1.184419)</f>
        <v>134.18282851000001</v>
      </c>
      <c r="G106" s="93"/>
      <c r="H106" s="104">
        <f t="shared" si="8"/>
        <v>134.18282851000001</v>
      </c>
      <c r="I106" s="105">
        <f t="shared" si="9"/>
        <v>550.14959689099999</v>
      </c>
    </row>
    <row r="107" spans="1:9" ht="42" thickBot="1" x14ac:dyDescent="0.35">
      <c r="A107" s="23" t="s">
        <v>203</v>
      </c>
      <c r="B107" s="26" t="s">
        <v>204</v>
      </c>
      <c r="C107" s="24" t="s">
        <v>66</v>
      </c>
      <c r="D107" s="27">
        <v>45.5</v>
      </c>
      <c r="E107" s="93">
        <f>26.55*(1.184419)</f>
        <v>31.446324450000002</v>
      </c>
      <c r="F107" s="93">
        <f>0.38*(1.184419)</f>
        <v>0.45007922000000006</v>
      </c>
      <c r="G107" s="93">
        <f>0.04*(1.184419)</f>
        <v>4.7376760000000004E-2</v>
      </c>
      <c r="H107" s="104">
        <f t="shared" si="8"/>
        <v>31.94378043</v>
      </c>
      <c r="I107" s="105">
        <f t="shared" si="9"/>
        <v>1453.442009565</v>
      </c>
    </row>
    <row r="108" spans="1:9" ht="15" thickBot="1" x14ac:dyDescent="0.35">
      <c r="A108" s="23" t="s">
        <v>205</v>
      </c>
      <c r="B108" s="26" t="s">
        <v>206</v>
      </c>
      <c r="C108" s="24" t="s">
        <v>103</v>
      </c>
      <c r="D108" s="27">
        <v>6.83</v>
      </c>
      <c r="E108" s="93">
        <f>99.56*(1.184419)</f>
        <v>117.92075564000001</v>
      </c>
      <c r="F108" s="93">
        <f>28.12*(1.184419)</f>
        <v>33.305862280000007</v>
      </c>
      <c r="G108" s="93">
        <f>2.58*(1.184419)</f>
        <v>3.0558010200000005</v>
      </c>
      <c r="H108" s="104">
        <f t="shared" si="8"/>
        <v>154.28241894000001</v>
      </c>
      <c r="I108" s="105">
        <f t="shared" si="9"/>
        <v>1053.7489213602</v>
      </c>
    </row>
    <row r="109" spans="1:9" ht="28.2" thickBot="1" x14ac:dyDescent="0.35">
      <c r="A109" s="23" t="s">
        <v>207</v>
      </c>
      <c r="B109" s="26" t="s">
        <v>141</v>
      </c>
      <c r="C109" s="24" t="s">
        <v>103</v>
      </c>
      <c r="D109" s="27">
        <v>36</v>
      </c>
      <c r="E109" s="93">
        <f>24.52*(1.184419)</f>
        <v>29.041953880000001</v>
      </c>
      <c r="F109" s="93">
        <f>81.2*(1.184419)</f>
        <v>96.174822800000015</v>
      </c>
      <c r="G109" s="93">
        <f>7.4*(1.184419)</f>
        <v>8.7647006000000012</v>
      </c>
      <c r="H109" s="104">
        <f t="shared" si="8"/>
        <v>133.98147728000001</v>
      </c>
      <c r="I109" s="105">
        <f t="shared" si="9"/>
        <v>4823.3331820800004</v>
      </c>
    </row>
    <row r="110" spans="1:9" ht="15" thickBot="1" x14ac:dyDescent="0.35">
      <c r="A110" s="30"/>
      <c r="B110" s="26"/>
      <c r="C110" s="26"/>
      <c r="D110" s="26"/>
      <c r="E110" s="93"/>
      <c r="F110" s="93"/>
      <c r="G110" s="93"/>
      <c r="H110" s="104"/>
      <c r="I110" s="105"/>
    </row>
    <row r="111" spans="1:9" ht="13.8" customHeight="1" thickBot="1" x14ac:dyDescent="0.35">
      <c r="A111" s="34" t="s">
        <v>208</v>
      </c>
      <c r="B111" s="36" t="s">
        <v>209</v>
      </c>
      <c r="C111" s="35"/>
      <c r="D111" s="35"/>
      <c r="E111" s="35"/>
      <c r="F111" s="35"/>
      <c r="G111" s="35"/>
      <c r="H111" s="35"/>
      <c r="I111" s="117">
        <f>SUM(I112:I115)</f>
        <v>1544.2928689599999</v>
      </c>
    </row>
    <row r="112" spans="1:9" ht="15" thickBot="1" x14ac:dyDescent="0.35">
      <c r="A112" s="23" t="s">
        <v>210</v>
      </c>
      <c r="B112" s="26" t="s">
        <v>211</v>
      </c>
      <c r="C112" s="24" t="s">
        <v>135</v>
      </c>
      <c r="D112" s="27">
        <v>64</v>
      </c>
      <c r="E112" s="93">
        <f>1.28*(1.184419)</f>
        <v>1.5160563200000001</v>
      </c>
      <c r="F112" s="93">
        <f>2.72*(1.184419)</f>
        <v>3.2216196800000003</v>
      </c>
      <c r="G112" s="93">
        <f>0.16*(1.184419)</f>
        <v>0.18950704000000002</v>
      </c>
      <c r="H112" s="104">
        <f t="shared" si="8"/>
        <v>4.9271830400000001</v>
      </c>
      <c r="I112" s="105">
        <f t="shared" si="9"/>
        <v>315.33971456</v>
      </c>
    </row>
    <row r="113" spans="1:9" ht="42" thickBot="1" x14ac:dyDescent="0.35">
      <c r="A113" s="23" t="s">
        <v>212</v>
      </c>
      <c r="B113" s="26" t="s">
        <v>213</v>
      </c>
      <c r="C113" s="24" t="s">
        <v>49</v>
      </c>
      <c r="D113" s="27">
        <v>8</v>
      </c>
      <c r="E113" s="93">
        <f>11.43*(1.184419)</f>
        <v>13.537909170000001</v>
      </c>
      <c r="F113" s="93">
        <f>21.77*(1.184419)</f>
        <v>25.78480163</v>
      </c>
      <c r="G113" s="93">
        <f>2.09*(1.184419)</f>
        <v>2.4754357100000002</v>
      </c>
      <c r="H113" s="104">
        <f t="shared" si="8"/>
        <v>41.798146510000002</v>
      </c>
      <c r="I113" s="105">
        <f t="shared" si="9"/>
        <v>334.38517208000002</v>
      </c>
    </row>
    <row r="114" spans="1:9" ht="15" thickBot="1" x14ac:dyDescent="0.35">
      <c r="A114" s="23" t="s">
        <v>214</v>
      </c>
      <c r="B114" s="26" t="s">
        <v>211</v>
      </c>
      <c r="C114" s="24" t="s">
        <v>135</v>
      </c>
      <c r="D114" s="27">
        <v>64</v>
      </c>
      <c r="E114" s="93">
        <f>1.28*(1.184419)</f>
        <v>1.5160563200000001</v>
      </c>
      <c r="F114" s="93">
        <f>2.72*(1.184419)</f>
        <v>3.2216196800000003</v>
      </c>
      <c r="G114" s="93">
        <f>0.16*(1.184419)</f>
        <v>0.18950704000000002</v>
      </c>
      <c r="H114" s="104">
        <f t="shared" si="8"/>
        <v>4.9271830400000001</v>
      </c>
      <c r="I114" s="105">
        <f t="shared" si="9"/>
        <v>315.33971456</v>
      </c>
    </row>
    <row r="115" spans="1:9" ht="15" thickBot="1" x14ac:dyDescent="0.35">
      <c r="A115" s="23" t="s">
        <v>215</v>
      </c>
      <c r="B115" s="26" t="s">
        <v>216</v>
      </c>
      <c r="C115" s="24" t="s">
        <v>49</v>
      </c>
      <c r="D115" s="27">
        <v>8</v>
      </c>
      <c r="E115" s="93">
        <f>19.58*(1.184419)</f>
        <v>23.190924020000001</v>
      </c>
      <c r="F115" s="93">
        <f>40.2*(1.184419)</f>
        <v>47.613643800000006</v>
      </c>
      <c r="G115" s="93">
        <f>1.35*(1.184419)</f>
        <v>1.5989656500000002</v>
      </c>
      <c r="H115" s="104">
        <f t="shared" si="8"/>
        <v>72.403533469999999</v>
      </c>
      <c r="I115" s="105">
        <f t="shared" si="9"/>
        <v>579.22826775999999</v>
      </c>
    </row>
    <row r="116" spans="1:9" ht="15" thickBot="1" x14ac:dyDescent="0.35">
      <c r="A116" s="30"/>
      <c r="B116" s="26"/>
      <c r="C116" s="26"/>
      <c r="D116" s="26"/>
      <c r="E116" s="93"/>
      <c r="F116" s="93"/>
      <c r="G116" s="93"/>
      <c r="H116" s="104"/>
      <c r="I116" s="105"/>
    </row>
    <row r="117" spans="1:9" ht="19.8" customHeight="1" thickBot="1" x14ac:dyDescent="0.35">
      <c r="A117" s="34" t="s">
        <v>217</v>
      </c>
      <c r="B117" s="36" t="s">
        <v>218</v>
      </c>
      <c r="C117" s="35"/>
      <c r="D117" s="35"/>
      <c r="E117" s="35"/>
      <c r="F117" s="35"/>
      <c r="G117" s="35"/>
      <c r="H117" s="35"/>
      <c r="I117" s="117">
        <f>I118+I120+I122+I136+I153</f>
        <v>1776286.8037647589</v>
      </c>
    </row>
    <row r="118" spans="1:9" ht="24.6" thickBot="1" x14ac:dyDescent="0.35">
      <c r="A118" s="40" t="s">
        <v>219</v>
      </c>
      <c r="B118" s="118" t="s">
        <v>220</v>
      </c>
      <c r="C118" s="26"/>
      <c r="D118" s="26"/>
      <c r="E118" s="93"/>
      <c r="F118" s="93"/>
      <c r="G118" s="93"/>
      <c r="H118" s="104"/>
      <c r="I118" s="119">
        <f>I119</f>
        <v>1148732.6715680256</v>
      </c>
    </row>
    <row r="119" spans="1:9" ht="19.2" customHeight="1" thickBot="1" x14ac:dyDescent="0.35">
      <c r="A119" s="23" t="s">
        <v>221</v>
      </c>
      <c r="B119" s="31" t="s">
        <v>222</v>
      </c>
      <c r="C119" s="24" t="s">
        <v>223</v>
      </c>
      <c r="D119" s="27">
        <v>161.28</v>
      </c>
      <c r="E119" s="93">
        <f>6013.58*(1.184419)</f>
        <v>7122.5984100200003</v>
      </c>
      <c r="F119" s="93"/>
      <c r="G119" s="93"/>
      <c r="H119" s="104">
        <f t="shared" si="8"/>
        <v>7122.5984100200003</v>
      </c>
      <c r="I119" s="105">
        <f t="shared" si="9"/>
        <v>1148732.6715680256</v>
      </c>
    </row>
    <row r="120" spans="1:9" ht="15" thickBot="1" x14ac:dyDescent="0.35">
      <c r="A120" s="40" t="s">
        <v>224</v>
      </c>
      <c r="B120" s="41" t="s">
        <v>225</v>
      </c>
      <c r="C120" s="26"/>
      <c r="D120" s="26"/>
      <c r="E120" s="93"/>
      <c r="F120" s="93"/>
      <c r="G120" s="93"/>
      <c r="H120" s="104"/>
      <c r="I120" s="119">
        <f>I121</f>
        <v>123268.64430880001</v>
      </c>
    </row>
    <row r="121" spans="1:9" ht="28.2" thickBot="1" x14ac:dyDescent="0.35">
      <c r="A121" s="23" t="s">
        <v>226</v>
      </c>
      <c r="B121" s="26" t="s">
        <v>227</v>
      </c>
      <c r="C121" s="24" t="s">
        <v>66</v>
      </c>
      <c r="D121" s="27">
        <v>580</v>
      </c>
      <c r="E121" s="93">
        <f>144.92*(1.184419)</f>
        <v>171.64600148</v>
      </c>
      <c r="F121" s="93">
        <f>34.52*(1.184419)</f>
        <v>40.886143880000006</v>
      </c>
      <c r="G121" s="93"/>
      <c r="H121" s="104">
        <f t="shared" si="8"/>
        <v>212.53214536000002</v>
      </c>
      <c r="I121" s="105">
        <f t="shared" si="9"/>
        <v>123268.64430880001</v>
      </c>
    </row>
    <row r="122" spans="1:9" ht="15" thickBot="1" x14ac:dyDescent="0.35">
      <c r="A122" s="40" t="s">
        <v>228</v>
      </c>
      <c r="B122" s="41" t="s">
        <v>229</v>
      </c>
      <c r="C122" s="26"/>
      <c r="D122" s="26"/>
      <c r="E122" s="93"/>
      <c r="F122" s="93"/>
      <c r="G122" s="93"/>
      <c r="H122" s="104"/>
      <c r="I122" s="119">
        <f>SUM(I123:I134)</f>
        <v>455714.31014117715</v>
      </c>
    </row>
    <row r="123" spans="1:9" ht="28.2" thickBot="1" x14ac:dyDescent="0.35">
      <c r="A123" s="23" t="s">
        <v>230</v>
      </c>
      <c r="B123" s="26" t="s">
        <v>231</v>
      </c>
      <c r="C123" s="24" t="s">
        <v>66</v>
      </c>
      <c r="D123" s="27">
        <v>897</v>
      </c>
      <c r="E123" s="93">
        <f>95.29*(1.184419)</f>
        <v>112.86328651000002</v>
      </c>
      <c r="F123" s="93">
        <f>66.19*(1.184419)</f>
        <v>78.39669361</v>
      </c>
      <c r="G123" s="93"/>
      <c r="H123" s="104">
        <f t="shared" si="8"/>
        <v>191.25998012000002</v>
      </c>
      <c r="I123" s="105">
        <f t="shared" si="9"/>
        <v>171560.20216764003</v>
      </c>
    </row>
    <row r="124" spans="1:9" ht="21.6" customHeight="1" thickBot="1" x14ac:dyDescent="0.35">
      <c r="A124" s="23" t="s">
        <v>232</v>
      </c>
      <c r="B124" s="26" t="s">
        <v>233</v>
      </c>
      <c r="C124" s="24" t="s">
        <v>66</v>
      </c>
      <c r="D124" s="27">
        <v>897</v>
      </c>
      <c r="E124" s="93">
        <f>4.21*(1.184419)</f>
        <v>4.9864039900000003</v>
      </c>
      <c r="F124" s="93">
        <f>4.86*(1.184419)</f>
        <v>5.7562763400000012</v>
      </c>
      <c r="G124" s="93"/>
      <c r="H124" s="104">
        <f t="shared" si="8"/>
        <v>10.742680330000002</v>
      </c>
      <c r="I124" s="105">
        <f t="shared" si="9"/>
        <v>9636.1842560100031</v>
      </c>
    </row>
    <row r="125" spans="1:9" ht="42" thickBot="1" x14ac:dyDescent="0.35">
      <c r="A125" s="23" t="s">
        <v>234</v>
      </c>
      <c r="B125" s="26" t="s">
        <v>235</v>
      </c>
      <c r="C125" s="24" t="s">
        <v>158</v>
      </c>
      <c r="D125" s="27">
        <v>65</v>
      </c>
      <c r="E125" s="93">
        <f>13.27*(1.184419)</f>
        <v>15.71724013</v>
      </c>
      <c r="F125" s="93">
        <f>5.18*(1.184419)</f>
        <v>6.1352904200000005</v>
      </c>
      <c r="G125" s="93">
        <f>0.43*(1.184419)</f>
        <v>0.50930017000000005</v>
      </c>
      <c r="H125" s="104">
        <f t="shared" si="8"/>
        <v>22.36183072</v>
      </c>
      <c r="I125" s="105">
        <f t="shared" si="9"/>
        <v>1453.5189968</v>
      </c>
    </row>
    <row r="126" spans="1:9" ht="42" thickBot="1" x14ac:dyDescent="0.35">
      <c r="A126" s="23" t="s">
        <v>236</v>
      </c>
      <c r="B126" s="26" t="s">
        <v>237</v>
      </c>
      <c r="C126" s="24" t="s">
        <v>158</v>
      </c>
      <c r="D126" s="28">
        <v>1402</v>
      </c>
      <c r="E126" s="93">
        <f>14.56*(1.184419)</f>
        <v>17.245140640000002</v>
      </c>
      <c r="F126" s="93">
        <f>5.51*(1.184419)</f>
        <v>6.5261486900000003</v>
      </c>
      <c r="G126" s="93">
        <f>0.45*(1.184419)</f>
        <v>0.53298855000000012</v>
      </c>
      <c r="H126" s="104">
        <f t="shared" si="8"/>
        <v>24.304277880000001</v>
      </c>
      <c r="I126" s="105">
        <f t="shared" si="9"/>
        <v>34074.597587759999</v>
      </c>
    </row>
    <row r="127" spans="1:9" ht="42" thickBot="1" x14ac:dyDescent="0.35">
      <c r="A127" s="23" t="s">
        <v>238</v>
      </c>
      <c r="B127" s="26" t="s">
        <v>239</v>
      </c>
      <c r="C127" s="24" t="s">
        <v>158</v>
      </c>
      <c r="D127" s="28">
        <v>1214</v>
      </c>
      <c r="E127" s="93">
        <f>14.63*(1.184419)</f>
        <v>17.328049970000002</v>
      </c>
      <c r="F127" s="93">
        <f>3.88*(1.184419)</f>
        <v>4.5955457200000005</v>
      </c>
      <c r="G127" s="93">
        <f>0.32*(1.184419)</f>
        <v>0.37901408000000003</v>
      </c>
      <c r="H127" s="104">
        <f t="shared" si="8"/>
        <v>22.302609770000004</v>
      </c>
      <c r="I127" s="105">
        <f t="shared" si="9"/>
        <v>27075.368260780004</v>
      </c>
    </row>
    <row r="128" spans="1:9" ht="42" thickBot="1" x14ac:dyDescent="0.35">
      <c r="A128" s="23" t="s">
        <v>240</v>
      </c>
      <c r="B128" s="26" t="s">
        <v>241</v>
      </c>
      <c r="C128" s="24" t="s">
        <v>158</v>
      </c>
      <c r="D128" s="27">
        <v>953</v>
      </c>
      <c r="E128" s="93">
        <f>13.56*(1.184419)</f>
        <v>16.060721640000001</v>
      </c>
      <c r="F128" s="93">
        <f>2.8*(1.184419)</f>
        <v>3.3163732000000001</v>
      </c>
      <c r="G128" s="93">
        <f>0.22*(1.184419)</f>
        <v>0.26057218000000004</v>
      </c>
      <c r="H128" s="104">
        <f t="shared" si="8"/>
        <v>19.637667020000002</v>
      </c>
      <c r="I128" s="105">
        <f t="shared" si="9"/>
        <v>18714.696670060002</v>
      </c>
    </row>
    <row r="129" spans="1:9" ht="42" thickBot="1" x14ac:dyDescent="0.35">
      <c r="A129" s="23" t="s">
        <v>242</v>
      </c>
      <c r="B129" s="26" t="s">
        <v>243</v>
      </c>
      <c r="C129" s="24" t="s">
        <v>158</v>
      </c>
      <c r="D129" s="28">
        <v>2417</v>
      </c>
      <c r="E129" s="93">
        <f>11.72*(1.184419)</f>
        <v>13.881390680000003</v>
      </c>
      <c r="F129" s="93">
        <f>1.99*(1.184419)</f>
        <v>2.3569938100000001</v>
      </c>
      <c r="G129" s="93">
        <f>0.16*(1.184419)</f>
        <v>0.18950704000000002</v>
      </c>
      <c r="H129" s="104">
        <f t="shared" si="8"/>
        <v>16.42789153</v>
      </c>
      <c r="I129" s="105">
        <f t="shared" si="9"/>
        <v>39706.213828009997</v>
      </c>
    </row>
    <row r="130" spans="1:9" ht="42" thickBot="1" x14ac:dyDescent="0.35">
      <c r="A130" s="23" t="s">
        <v>244</v>
      </c>
      <c r="B130" s="26" t="s">
        <v>245</v>
      </c>
      <c r="C130" s="24" t="s">
        <v>158</v>
      </c>
      <c r="D130" s="27">
        <v>968</v>
      </c>
      <c r="E130" s="93">
        <f>11.49*(1.184419)</f>
        <v>13.608974310000001</v>
      </c>
      <c r="F130" s="93">
        <f>1.32*(1.184419)</f>
        <v>1.5634330800000003</v>
      </c>
      <c r="G130" s="93">
        <f>0.11*(1.184419)</f>
        <v>0.13028609000000002</v>
      </c>
      <c r="H130" s="104">
        <f t="shared" si="8"/>
        <v>15.30269348</v>
      </c>
      <c r="I130" s="105">
        <f t="shared" si="9"/>
        <v>14813.007288639999</v>
      </c>
    </row>
    <row r="131" spans="1:9" ht="42" thickBot="1" x14ac:dyDescent="0.35">
      <c r="A131" s="23" t="s">
        <v>246</v>
      </c>
      <c r="B131" s="26" t="s">
        <v>247</v>
      </c>
      <c r="C131" s="24" t="s">
        <v>158</v>
      </c>
      <c r="D131" s="27">
        <v>25</v>
      </c>
      <c r="E131" s="93">
        <f>13.27*(1.184419)</f>
        <v>15.71724013</v>
      </c>
      <c r="F131" s="93">
        <f>0.86*(1.184419)</f>
        <v>1.0186003400000001</v>
      </c>
      <c r="G131" s="93">
        <f>0.07*(1.184419)</f>
        <v>8.2909330000000017E-2</v>
      </c>
      <c r="H131" s="104">
        <f t="shared" si="8"/>
        <v>16.818749799999999</v>
      </c>
      <c r="I131" s="105">
        <f t="shared" si="9"/>
        <v>420.46874499999996</v>
      </c>
    </row>
    <row r="132" spans="1:9" ht="15" thickBot="1" x14ac:dyDescent="0.35">
      <c r="A132" s="23" t="s">
        <v>248</v>
      </c>
      <c r="B132" s="26" t="s">
        <v>249</v>
      </c>
      <c r="C132" s="24" t="s">
        <v>66</v>
      </c>
      <c r="D132" s="27">
        <v>697.3</v>
      </c>
      <c r="E132" s="93">
        <f>60.14*(1.184419)</f>
        <v>71.230958660000013</v>
      </c>
      <c r="F132" s="93">
        <f>3.43*(1.184419)</f>
        <v>4.0625571700000007</v>
      </c>
      <c r="G132" s="93">
        <f>0.34*(1.184419)</f>
        <v>0.40270246000000004</v>
      </c>
      <c r="H132" s="104">
        <f t="shared" si="8"/>
        <v>75.696218290000019</v>
      </c>
      <c r="I132" s="105">
        <f t="shared" si="9"/>
        <v>52782.973013617011</v>
      </c>
    </row>
    <row r="133" spans="1:9" ht="15" thickBot="1" x14ac:dyDescent="0.35">
      <c r="A133" s="23" t="s">
        <v>250</v>
      </c>
      <c r="B133" s="26" t="s">
        <v>251</v>
      </c>
      <c r="C133" s="24" t="s">
        <v>103</v>
      </c>
      <c r="D133" s="27">
        <v>117</v>
      </c>
      <c r="E133" s="93">
        <f>503.53*(1.184419)</f>
        <v>596.39049907000003</v>
      </c>
      <c r="F133" s="93"/>
      <c r="G133" s="93"/>
      <c r="H133" s="104">
        <f t="shared" si="8"/>
        <v>596.39049907000003</v>
      </c>
      <c r="I133" s="105">
        <f t="shared" si="9"/>
        <v>69777.688391190008</v>
      </c>
    </row>
    <row r="134" spans="1:9" ht="15" thickBot="1" x14ac:dyDescent="0.35">
      <c r="A134" s="23" t="s">
        <v>252</v>
      </c>
      <c r="B134" s="26" t="s">
        <v>202</v>
      </c>
      <c r="C134" s="24" t="s">
        <v>103</v>
      </c>
      <c r="D134" s="27">
        <v>117</v>
      </c>
      <c r="E134" s="93"/>
      <c r="F134" s="93">
        <f>113.29*(1.184419)</f>
        <v>134.18282851000001</v>
      </c>
      <c r="G134" s="93"/>
      <c r="H134" s="104">
        <f t="shared" si="8"/>
        <v>134.18282851000001</v>
      </c>
      <c r="I134" s="105">
        <f t="shared" si="9"/>
        <v>15699.390935670001</v>
      </c>
    </row>
    <row r="135" spans="1:9" ht="15" thickBot="1" x14ac:dyDescent="0.35">
      <c r="A135" s="30"/>
      <c r="B135" s="26"/>
      <c r="C135" s="26"/>
      <c r="D135" s="26"/>
      <c r="E135" s="93"/>
      <c r="F135" s="93"/>
      <c r="G135" s="93"/>
      <c r="H135" s="104"/>
      <c r="I135" s="105"/>
    </row>
    <row r="136" spans="1:9" ht="15" thickBot="1" x14ac:dyDescent="0.35">
      <c r="A136" s="40" t="s">
        <v>253</v>
      </c>
      <c r="B136" s="42" t="s">
        <v>254</v>
      </c>
      <c r="C136" s="26"/>
      <c r="D136" s="26"/>
      <c r="E136" s="93"/>
      <c r="F136" s="93"/>
      <c r="G136" s="93"/>
      <c r="H136" s="104"/>
      <c r="I136" s="119">
        <f>SUM(I137:I151)</f>
        <v>41934.8097487798</v>
      </c>
    </row>
    <row r="137" spans="1:9" ht="42" thickBot="1" x14ac:dyDescent="0.35">
      <c r="A137" s="23" t="s">
        <v>255</v>
      </c>
      <c r="B137" s="26" t="s">
        <v>139</v>
      </c>
      <c r="C137" s="24" t="s">
        <v>103</v>
      </c>
      <c r="D137" s="27">
        <v>105</v>
      </c>
      <c r="E137" s="93">
        <f>6.39*(1.184419)</f>
        <v>7.5684374100000005</v>
      </c>
      <c r="F137" s="93">
        <f>2.97*(1.184419)</f>
        <v>3.5177244300000003</v>
      </c>
      <c r="G137" s="93">
        <f>5.76*(1.184419)</f>
        <v>6.8222534400000008</v>
      </c>
      <c r="H137" s="104">
        <f t="shared" ref="H137:H199" si="10">E137+F137+G137</f>
        <v>17.90841528</v>
      </c>
      <c r="I137" s="105">
        <f t="shared" ref="I137:I199" si="11">H137*D137</f>
        <v>1880.3836044</v>
      </c>
    </row>
    <row r="138" spans="1:9" ht="28.2" thickBot="1" x14ac:dyDescent="0.35">
      <c r="A138" s="23" t="s">
        <v>256</v>
      </c>
      <c r="B138" s="26" t="s">
        <v>141</v>
      </c>
      <c r="C138" s="24" t="s">
        <v>103</v>
      </c>
      <c r="D138" s="27">
        <v>1.94</v>
      </c>
      <c r="E138" s="93">
        <f>24.52*(1.184419)</f>
        <v>29.041953880000001</v>
      </c>
      <c r="F138" s="93">
        <f>81.2*(1.184419)</f>
        <v>96.174822800000015</v>
      </c>
      <c r="G138" s="93">
        <f>7.4*(1.184419)</f>
        <v>8.7647006000000012</v>
      </c>
      <c r="H138" s="104">
        <f t="shared" si="10"/>
        <v>133.98147728000001</v>
      </c>
      <c r="I138" s="105">
        <f t="shared" si="11"/>
        <v>259.92406592320003</v>
      </c>
    </row>
    <row r="139" spans="1:9" ht="28.2" thickBot="1" x14ac:dyDescent="0.35">
      <c r="A139" s="23" t="s">
        <v>257</v>
      </c>
      <c r="B139" s="26" t="s">
        <v>143</v>
      </c>
      <c r="C139" s="24" t="s">
        <v>103</v>
      </c>
      <c r="D139" s="27">
        <v>32.020000000000003</v>
      </c>
      <c r="E139" s="93">
        <f>10.48*(1.184419)</f>
        <v>12.412711120000001</v>
      </c>
      <c r="F139" s="93">
        <f>26.69*(1.184419)</f>
        <v>31.612143110000005</v>
      </c>
      <c r="G139" s="93">
        <f>2.73*(1.184419)</f>
        <v>3.2334638700000005</v>
      </c>
      <c r="H139" s="104">
        <f t="shared" si="10"/>
        <v>47.258318100000004</v>
      </c>
      <c r="I139" s="105">
        <f t="shared" si="11"/>
        <v>1513.2113455620004</v>
      </c>
    </row>
    <row r="140" spans="1:9" ht="42" thickBot="1" x14ac:dyDescent="0.35">
      <c r="A140" s="23" t="s">
        <v>258</v>
      </c>
      <c r="B140" s="26" t="s">
        <v>122</v>
      </c>
      <c r="C140" s="24" t="s">
        <v>103</v>
      </c>
      <c r="D140" s="27">
        <v>61.77</v>
      </c>
      <c r="E140" s="93">
        <f>3.77*(1.184419)</f>
        <v>4.4652596300000003</v>
      </c>
      <c r="F140" s="93">
        <f>1.73*(1.184419)</f>
        <v>2.0490448700000004</v>
      </c>
      <c r="G140" s="93">
        <f>3.61*(1.184419)</f>
        <v>4.2757525900000006</v>
      </c>
      <c r="H140" s="104">
        <f t="shared" si="10"/>
        <v>10.790057090000001</v>
      </c>
      <c r="I140" s="105">
        <f t="shared" si="11"/>
        <v>666.5018264493001</v>
      </c>
    </row>
    <row r="141" spans="1:9" ht="28.2" thickBot="1" x14ac:dyDescent="0.35">
      <c r="A141" s="23" t="s">
        <v>259</v>
      </c>
      <c r="B141" s="26" t="s">
        <v>124</v>
      </c>
      <c r="C141" s="24" t="s">
        <v>125</v>
      </c>
      <c r="D141" s="28">
        <v>1853.19</v>
      </c>
      <c r="E141" s="93">
        <f>1.51*(1.184419)</f>
        <v>1.7884726900000001</v>
      </c>
      <c r="F141" s="93">
        <f>0.27*(1.184419)</f>
        <v>0.31979313000000004</v>
      </c>
      <c r="G141" s="93">
        <f>0.64*(1.184419)</f>
        <v>0.75802816000000006</v>
      </c>
      <c r="H141" s="104">
        <f t="shared" si="10"/>
        <v>2.86629398</v>
      </c>
      <c r="I141" s="105">
        <f t="shared" si="11"/>
        <v>5311.7873407962006</v>
      </c>
    </row>
    <row r="142" spans="1:9" ht="42" thickBot="1" x14ac:dyDescent="0.35">
      <c r="A142" s="23" t="s">
        <v>260</v>
      </c>
      <c r="B142" s="26" t="s">
        <v>127</v>
      </c>
      <c r="C142" s="24" t="s">
        <v>125</v>
      </c>
      <c r="D142" s="27">
        <v>617.73</v>
      </c>
      <c r="E142" s="93">
        <f>0.6*(1.184419)</f>
        <v>0.71065140000000004</v>
      </c>
      <c r="F142" s="93">
        <f>0.1*(1.184419)</f>
        <v>0.11844190000000002</v>
      </c>
      <c r="G142" s="93">
        <f>0.26*(1.184419)</f>
        <v>0.30794894000000006</v>
      </c>
      <c r="H142" s="104">
        <f t="shared" si="10"/>
        <v>1.13704224</v>
      </c>
      <c r="I142" s="105">
        <f t="shared" si="11"/>
        <v>702.38510291520004</v>
      </c>
    </row>
    <row r="143" spans="1:9" ht="28.2" thickBot="1" x14ac:dyDescent="0.35">
      <c r="A143" s="23" t="s">
        <v>261</v>
      </c>
      <c r="B143" s="26" t="s">
        <v>170</v>
      </c>
      <c r="C143" s="24" t="s">
        <v>103</v>
      </c>
      <c r="D143" s="27">
        <v>0.53</v>
      </c>
      <c r="E143" s="93">
        <f>336.02*(1.184419)</f>
        <v>397.98847238000002</v>
      </c>
      <c r="F143" s="93">
        <f>250.63*(1.184419)</f>
        <v>296.85093397000003</v>
      </c>
      <c r="G143" s="93">
        <f>22.5*(1.184419)</f>
        <v>26.649427500000002</v>
      </c>
      <c r="H143" s="104">
        <f t="shared" si="10"/>
        <v>721.48883384999999</v>
      </c>
      <c r="I143" s="105">
        <f t="shared" si="11"/>
        <v>382.38908194050003</v>
      </c>
    </row>
    <row r="144" spans="1:9" ht="28.2" thickBot="1" x14ac:dyDescent="0.35">
      <c r="A144" s="23" t="s">
        <v>262</v>
      </c>
      <c r="B144" s="26" t="s">
        <v>172</v>
      </c>
      <c r="C144" s="24" t="s">
        <v>66</v>
      </c>
      <c r="D144" s="27">
        <v>20.69</v>
      </c>
      <c r="E144" s="93">
        <f>61.18*(1.184419)</f>
        <v>72.46275442000001</v>
      </c>
      <c r="F144" s="93">
        <f>36.82*(1.184419)</f>
        <v>43.610307580000004</v>
      </c>
      <c r="G144" s="93">
        <f>0.16*(1.184419)</f>
        <v>0.18950704000000002</v>
      </c>
      <c r="H144" s="104">
        <f t="shared" si="10"/>
        <v>116.26256904000002</v>
      </c>
      <c r="I144" s="105">
        <f t="shared" si="11"/>
        <v>2405.4725534376007</v>
      </c>
    </row>
    <row r="145" spans="1:9" ht="28.2" thickBot="1" x14ac:dyDescent="0.35">
      <c r="A145" s="23" t="s">
        <v>263</v>
      </c>
      <c r="B145" s="26" t="s">
        <v>179</v>
      </c>
      <c r="C145" s="24" t="s">
        <v>158</v>
      </c>
      <c r="D145" s="27">
        <v>268.75</v>
      </c>
      <c r="E145" s="93">
        <f>11.76*(1.184419)</f>
        <v>13.928767440000001</v>
      </c>
      <c r="F145" s="93">
        <f>2.13*(1.184419)</f>
        <v>2.5228124700000003</v>
      </c>
      <c r="G145" s="93">
        <f>0.17*(1.184419)</f>
        <v>0.20135123000000002</v>
      </c>
      <c r="H145" s="104">
        <f t="shared" si="10"/>
        <v>16.652931140000003</v>
      </c>
      <c r="I145" s="105">
        <f t="shared" si="11"/>
        <v>4475.4752438750011</v>
      </c>
    </row>
    <row r="146" spans="1:9" ht="15" thickBot="1" x14ac:dyDescent="0.35">
      <c r="A146" s="23" t="s">
        <v>264</v>
      </c>
      <c r="B146" s="26" t="s">
        <v>251</v>
      </c>
      <c r="C146" s="24" t="s">
        <v>103</v>
      </c>
      <c r="D146" s="27">
        <v>4.4800000000000004</v>
      </c>
      <c r="E146" s="93">
        <f>503.53*(1.184419)</f>
        <v>596.39049907000003</v>
      </c>
      <c r="F146" s="93"/>
      <c r="G146" s="93"/>
      <c r="H146" s="104">
        <f t="shared" si="10"/>
        <v>596.39049907000003</v>
      </c>
      <c r="I146" s="105">
        <f t="shared" si="11"/>
        <v>2671.8294358336002</v>
      </c>
    </row>
    <row r="147" spans="1:9" ht="15" thickBot="1" x14ac:dyDescent="0.35">
      <c r="A147" s="23" t="s">
        <v>265</v>
      </c>
      <c r="B147" s="26" t="s">
        <v>202</v>
      </c>
      <c r="C147" s="24" t="s">
        <v>103</v>
      </c>
      <c r="D147" s="27">
        <v>4.4800000000000004</v>
      </c>
      <c r="E147" s="93"/>
      <c r="F147" s="93">
        <f>113.29*(1.184419)</f>
        <v>134.18282851000001</v>
      </c>
      <c r="G147" s="93"/>
      <c r="H147" s="104">
        <f t="shared" si="10"/>
        <v>134.18282851000001</v>
      </c>
      <c r="I147" s="105">
        <f t="shared" si="11"/>
        <v>601.13907172480015</v>
      </c>
    </row>
    <row r="148" spans="1:9" ht="15" thickBot="1" x14ac:dyDescent="0.35">
      <c r="A148" s="23" t="s">
        <v>266</v>
      </c>
      <c r="B148" s="26" t="s">
        <v>267</v>
      </c>
      <c r="C148" s="24" t="s">
        <v>135</v>
      </c>
      <c r="D148" s="27">
        <v>4.5</v>
      </c>
      <c r="E148" s="93">
        <f>2395.67*(1.184419)</f>
        <v>2837.4770657300005</v>
      </c>
      <c r="F148" s="93">
        <f>156.41*(1.184419)</f>
        <v>185.25497579</v>
      </c>
      <c r="G148" s="93"/>
      <c r="H148" s="104">
        <f t="shared" si="10"/>
        <v>3022.7320415200006</v>
      </c>
      <c r="I148" s="105">
        <f t="shared" si="11"/>
        <v>13602.294186840003</v>
      </c>
    </row>
    <row r="149" spans="1:9" ht="28.2" thickBot="1" x14ac:dyDescent="0.35">
      <c r="A149" s="23" t="s">
        <v>268</v>
      </c>
      <c r="B149" s="26" t="s">
        <v>269</v>
      </c>
      <c r="C149" s="24" t="s">
        <v>66</v>
      </c>
      <c r="D149" s="27">
        <v>49.76</v>
      </c>
      <c r="E149" s="93">
        <f>56.94*(1.184419)</f>
        <v>67.44081786000001</v>
      </c>
      <c r="F149" s="93">
        <f>18.77*(1.184419)</f>
        <v>22.231544630000002</v>
      </c>
      <c r="G149" s="93"/>
      <c r="H149" s="104">
        <f t="shared" si="10"/>
        <v>89.672362490000012</v>
      </c>
      <c r="I149" s="105">
        <f t="shared" si="11"/>
        <v>4462.0967575024006</v>
      </c>
    </row>
    <row r="150" spans="1:9" ht="15" thickBot="1" x14ac:dyDescent="0.35">
      <c r="A150" s="23" t="s">
        <v>270</v>
      </c>
      <c r="B150" s="26" t="s">
        <v>271</v>
      </c>
      <c r="C150" s="24" t="s">
        <v>66</v>
      </c>
      <c r="D150" s="27">
        <v>1</v>
      </c>
      <c r="E150" s="93">
        <f>1348.31*(1.184419)</f>
        <v>1596.96398189</v>
      </c>
      <c r="F150" s="93">
        <f>86.23*(1.184419)</f>
        <v>102.13245037000002</v>
      </c>
      <c r="G150" s="93"/>
      <c r="H150" s="104">
        <f t="shared" si="10"/>
        <v>1699.09643226</v>
      </c>
      <c r="I150" s="105">
        <f t="shared" si="11"/>
        <v>1699.09643226</v>
      </c>
    </row>
    <row r="151" spans="1:9" ht="15" thickBot="1" x14ac:dyDescent="0.35">
      <c r="A151" s="23" t="s">
        <v>272</v>
      </c>
      <c r="B151" s="26" t="s">
        <v>273</v>
      </c>
      <c r="C151" s="24" t="s">
        <v>135</v>
      </c>
      <c r="D151" s="27">
        <v>4</v>
      </c>
      <c r="E151" s="93">
        <f>246.71*(1.184419)</f>
        <v>292.20801149000005</v>
      </c>
      <c r="F151" s="93">
        <f>25.62*(1.184419)</f>
        <v>30.344814780000004</v>
      </c>
      <c r="G151" s="93">
        <f>2.24*(1.184419)</f>
        <v>2.6530985600000005</v>
      </c>
      <c r="H151" s="104">
        <f t="shared" si="10"/>
        <v>325.20592483000001</v>
      </c>
      <c r="I151" s="105">
        <f t="shared" si="11"/>
        <v>1300.8236993200001</v>
      </c>
    </row>
    <row r="152" spans="1:9" ht="15" thickBot="1" x14ac:dyDescent="0.35">
      <c r="A152" s="30"/>
      <c r="B152" s="26"/>
      <c r="C152" s="26"/>
      <c r="D152" s="26"/>
      <c r="E152" s="93"/>
      <c r="F152" s="93"/>
      <c r="G152" s="93"/>
      <c r="H152" s="104"/>
      <c r="I152" s="105"/>
    </row>
    <row r="153" spans="1:9" ht="15" thickBot="1" x14ac:dyDescent="0.35">
      <c r="A153" s="40" t="s">
        <v>274</v>
      </c>
      <c r="B153" s="42" t="s">
        <v>275</v>
      </c>
      <c r="C153" s="26"/>
      <c r="D153" s="26"/>
      <c r="E153" s="93"/>
      <c r="F153" s="93"/>
      <c r="G153" s="93"/>
      <c r="H153" s="104"/>
      <c r="I153" s="119">
        <f>SUM(I154:I166)</f>
        <v>6636.3679979763019</v>
      </c>
    </row>
    <row r="154" spans="1:9" ht="28.2" thickBot="1" x14ac:dyDescent="0.35">
      <c r="A154" s="23" t="s">
        <v>276</v>
      </c>
      <c r="B154" s="26" t="s">
        <v>141</v>
      </c>
      <c r="C154" s="24" t="s">
        <v>103</v>
      </c>
      <c r="D154" s="27">
        <v>12.52</v>
      </c>
      <c r="E154" s="93">
        <f>24.52*(1.184419)</f>
        <v>29.041953880000001</v>
      </c>
      <c r="F154" s="93">
        <f>81.2*(1.184419)</f>
        <v>96.174822800000015</v>
      </c>
      <c r="G154" s="93">
        <f>7.4*(1.184419)</f>
        <v>8.7647006000000012</v>
      </c>
      <c r="H154" s="104">
        <f t="shared" si="10"/>
        <v>133.98147728000001</v>
      </c>
      <c r="I154" s="105">
        <f t="shared" si="11"/>
        <v>1677.4480955455999</v>
      </c>
    </row>
    <row r="155" spans="1:9" ht="28.2" thickBot="1" x14ac:dyDescent="0.35">
      <c r="A155" s="23" t="s">
        <v>277</v>
      </c>
      <c r="B155" s="26" t="s">
        <v>143</v>
      </c>
      <c r="C155" s="24" t="s">
        <v>103</v>
      </c>
      <c r="D155" s="27">
        <v>9.58</v>
      </c>
      <c r="E155" s="93">
        <f>10.48*(1.184419)</f>
        <v>12.412711120000001</v>
      </c>
      <c r="F155" s="93">
        <f>26.69*(1.184419)</f>
        <v>31.612143110000005</v>
      </c>
      <c r="G155" s="93">
        <f>2.73*(1.184419)</f>
        <v>3.2334638700000005</v>
      </c>
      <c r="H155" s="104">
        <f t="shared" si="10"/>
        <v>47.258318100000004</v>
      </c>
      <c r="I155" s="105">
        <f t="shared" si="11"/>
        <v>452.73468739800006</v>
      </c>
    </row>
    <row r="156" spans="1:9" ht="42" thickBot="1" x14ac:dyDescent="0.35">
      <c r="A156" s="23" t="s">
        <v>278</v>
      </c>
      <c r="B156" s="26" t="s">
        <v>122</v>
      </c>
      <c r="C156" s="24" t="s">
        <v>103</v>
      </c>
      <c r="D156" s="27">
        <v>3.97</v>
      </c>
      <c r="E156" s="93">
        <f>3.77*(1.184419)</f>
        <v>4.4652596300000003</v>
      </c>
      <c r="F156" s="93">
        <f>1.73*(1.184419)</f>
        <v>2.0490448700000004</v>
      </c>
      <c r="G156" s="93">
        <f>3.61*(1.184419)</f>
        <v>4.2757525900000006</v>
      </c>
      <c r="H156" s="104">
        <f t="shared" si="10"/>
        <v>10.790057090000001</v>
      </c>
      <c r="I156" s="105">
        <f t="shared" si="11"/>
        <v>42.836526647300005</v>
      </c>
    </row>
    <row r="157" spans="1:9" ht="28.2" thickBot="1" x14ac:dyDescent="0.35">
      <c r="A157" s="23" t="s">
        <v>279</v>
      </c>
      <c r="B157" s="26" t="s">
        <v>124</v>
      </c>
      <c r="C157" s="24" t="s">
        <v>125</v>
      </c>
      <c r="D157" s="27">
        <v>119.07</v>
      </c>
      <c r="E157" s="93">
        <f>1.51*(1.184419)</f>
        <v>1.7884726900000001</v>
      </c>
      <c r="F157" s="93">
        <f>0.27*(1.184419)</f>
        <v>0.31979313000000004</v>
      </c>
      <c r="G157" s="93">
        <f>0.64*(1.184419)</f>
        <v>0.75802816000000006</v>
      </c>
      <c r="H157" s="104">
        <f t="shared" si="10"/>
        <v>2.86629398</v>
      </c>
      <c r="I157" s="105">
        <f t="shared" si="11"/>
        <v>341.28962419859999</v>
      </c>
    </row>
    <row r="158" spans="1:9" ht="42" thickBot="1" x14ac:dyDescent="0.35">
      <c r="A158" s="23" t="s">
        <v>280</v>
      </c>
      <c r="B158" s="26" t="s">
        <v>127</v>
      </c>
      <c r="C158" s="24" t="s">
        <v>125</v>
      </c>
      <c r="D158" s="27">
        <v>39.69</v>
      </c>
      <c r="E158" s="93">
        <f>0.6*(1.184419)</f>
        <v>0.71065140000000004</v>
      </c>
      <c r="F158" s="93">
        <f>0.1*(1.184419)</f>
        <v>0.11844190000000002</v>
      </c>
      <c r="G158" s="93">
        <f>0.26*(1.184419)</f>
        <v>0.30794894000000006</v>
      </c>
      <c r="H158" s="104">
        <f t="shared" si="10"/>
        <v>1.13704224</v>
      </c>
      <c r="I158" s="105">
        <f t="shared" si="11"/>
        <v>45.129206505599996</v>
      </c>
    </row>
    <row r="159" spans="1:9" ht="28.2" thickBot="1" x14ac:dyDescent="0.35">
      <c r="A159" s="23" t="s">
        <v>281</v>
      </c>
      <c r="B159" s="26" t="s">
        <v>282</v>
      </c>
      <c r="C159" s="24" t="s">
        <v>103</v>
      </c>
      <c r="D159" s="27">
        <v>0.4</v>
      </c>
      <c r="E159" s="93">
        <f>84.95*(1.184419)</f>
        <v>100.61639405000001</v>
      </c>
      <c r="F159" s="93">
        <f>0.58*(1.184419)</f>
        <v>0.68696301999999998</v>
      </c>
      <c r="G159" s="93">
        <f>6.22*(1.184419)</f>
        <v>7.3670861800000003</v>
      </c>
      <c r="H159" s="104">
        <f t="shared" si="10"/>
        <v>108.67044325000001</v>
      </c>
      <c r="I159" s="105">
        <f t="shared" si="11"/>
        <v>43.468177300000008</v>
      </c>
    </row>
    <row r="160" spans="1:9" ht="28.2" thickBot="1" x14ac:dyDescent="0.35">
      <c r="A160" s="23" t="s">
        <v>283</v>
      </c>
      <c r="B160" s="26" t="s">
        <v>170</v>
      </c>
      <c r="C160" s="24" t="s">
        <v>103</v>
      </c>
      <c r="D160" s="27">
        <v>0.4</v>
      </c>
      <c r="E160" s="93">
        <f>336.02*(1.184419)</f>
        <v>397.98847238000002</v>
      </c>
      <c r="F160" s="93">
        <f>250.63*(1.184419)</f>
        <v>296.85093397000003</v>
      </c>
      <c r="G160" s="93">
        <f>22.5*(1.184419)</f>
        <v>26.649427500000002</v>
      </c>
      <c r="H160" s="104">
        <f t="shared" si="10"/>
        <v>721.48883384999999</v>
      </c>
      <c r="I160" s="105">
        <f t="shared" si="11"/>
        <v>288.59553354000002</v>
      </c>
    </row>
    <row r="161" spans="1:9" ht="28.2" thickBot="1" x14ac:dyDescent="0.35">
      <c r="A161" s="23" t="s">
        <v>284</v>
      </c>
      <c r="B161" s="26" t="s">
        <v>172</v>
      </c>
      <c r="C161" s="24" t="s">
        <v>66</v>
      </c>
      <c r="D161" s="27">
        <v>2.2799999999999998</v>
      </c>
      <c r="E161" s="93">
        <f>61.18*(1.184419)</f>
        <v>72.46275442000001</v>
      </c>
      <c r="F161" s="93">
        <f>36.82*(1.184419)</f>
        <v>43.610307580000004</v>
      </c>
      <c r="G161" s="93">
        <f>0.16*(1.184419)</f>
        <v>0.18950704000000002</v>
      </c>
      <c r="H161" s="104">
        <f t="shared" si="10"/>
        <v>116.26256904000002</v>
      </c>
      <c r="I161" s="105">
        <f t="shared" si="11"/>
        <v>265.07865741120003</v>
      </c>
    </row>
    <row r="162" spans="1:9" ht="28.2" thickBot="1" x14ac:dyDescent="0.35">
      <c r="A162" s="23" t="s">
        <v>285</v>
      </c>
      <c r="B162" s="26" t="s">
        <v>157</v>
      </c>
      <c r="C162" s="24" t="s">
        <v>158</v>
      </c>
      <c r="D162" s="27">
        <v>62.4</v>
      </c>
      <c r="E162" s="93">
        <f>14.64*(1.184419)</f>
        <v>17.339894160000004</v>
      </c>
      <c r="F162" s="93">
        <f>3.88*(1.184419)</f>
        <v>4.5955457200000005</v>
      </c>
      <c r="G162" s="93">
        <f>0.33*(1.184419)</f>
        <v>0.39085827000000006</v>
      </c>
      <c r="H162" s="104">
        <f t="shared" si="10"/>
        <v>22.326298150000003</v>
      </c>
      <c r="I162" s="105">
        <f t="shared" si="11"/>
        <v>1393.1610045600003</v>
      </c>
    </row>
    <row r="163" spans="1:9" ht="42" thickBot="1" x14ac:dyDescent="0.35">
      <c r="A163" s="23" t="s">
        <v>286</v>
      </c>
      <c r="B163" s="26" t="s">
        <v>287</v>
      </c>
      <c r="C163" s="24" t="s">
        <v>66</v>
      </c>
      <c r="D163" s="27">
        <v>8.1199999999999992</v>
      </c>
      <c r="E163" s="93">
        <f>78.42*(1.184419)</f>
        <v>92.88213798000001</v>
      </c>
      <c r="F163" s="93">
        <f>49.18*(1.184419)</f>
        <v>58.249726420000002</v>
      </c>
      <c r="G163" s="93">
        <f>4.02*(1.184419)</f>
        <v>4.7613643799999998</v>
      </c>
      <c r="H163" s="104">
        <f t="shared" si="10"/>
        <v>155.89322878000002</v>
      </c>
      <c r="I163" s="105">
        <f t="shared" si="11"/>
        <v>1265.8530176935999</v>
      </c>
    </row>
    <row r="164" spans="1:9" ht="15" thickBot="1" x14ac:dyDescent="0.35">
      <c r="A164" s="23" t="s">
        <v>288</v>
      </c>
      <c r="B164" s="26" t="s">
        <v>251</v>
      </c>
      <c r="C164" s="24" t="s">
        <v>103</v>
      </c>
      <c r="D164" s="27">
        <v>1.04</v>
      </c>
      <c r="E164" s="93">
        <f>503.53*(1.184419)</f>
        <v>596.39049907000003</v>
      </c>
      <c r="F164" s="93"/>
      <c r="G164" s="93"/>
      <c r="H164" s="104">
        <f t="shared" si="10"/>
        <v>596.39049907000003</v>
      </c>
      <c r="I164" s="105">
        <f t="shared" si="11"/>
        <v>620.24611903280004</v>
      </c>
    </row>
    <row r="165" spans="1:9" ht="15" thickBot="1" x14ac:dyDescent="0.35">
      <c r="A165" s="23" t="s">
        <v>289</v>
      </c>
      <c r="B165" s="26" t="s">
        <v>202</v>
      </c>
      <c r="C165" s="24" t="s">
        <v>103</v>
      </c>
      <c r="D165" s="27">
        <v>1.04</v>
      </c>
      <c r="E165" s="93"/>
      <c r="F165" s="93">
        <f>113.29*(1.184419)</f>
        <v>134.18282851000001</v>
      </c>
      <c r="G165" s="93"/>
      <c r="H165" s="104">
        <f t="shared" si="10"/>
        <v>134.18282851000001</v>
      </c>
      <c r="I165" s="105">
        <f t="shared" si="11"/>
        <v>139.55014165040001</v>
      </c>
    </row>
    <row r="166" spans="1:9" ht="28.2" thickBot="1" x14ac:dyDescent="0.35">
      <c r="A166" s="23" t="s">
        <v>290</v>
      </c>
      <c r="B166" s="26" t="s">
        <v>269</v>
      </c>
      <c r="C166" s="24" t="s">
        <v>66</v>
      </c>
      <c r="D166" s="27">
        <v>0.68</v>
      </c>
      <c r="E166" s="93">
        <f>56.94*(1.184419)</f>
        <v>67.44081786000001</v>
      </c>
      <c r="F166" s="93">
        <f>18.77*(1.184419)</f>
        <v>22.231544630000002</v>
      </c>
      <c r="G166" s="93"/>
      <c r="H166" s="104">
        <f t="shared" si="10"/>
        <v>89.672362490000012</v>
      </c>
      <c r="I166" s="105">
        <f t="shared" si="11"/>
        <v>60.977206493200015</v>
      </c>
    </row>
    <row r="167" spans="1:9" ht="15" thickBot="1" x14ac:dyDescent="0.35">
      <c r="A167" s="30"/>
      <c r="B167" s="26"/>
      <c r="C167" s="26"/>
      <c r="D167" s="26"/>
      <c r="E167" s="93"/>
      <c r="F167" s="93"/>
      <c r="G167" s="93"/>
      <c r="H167" s="104"/>
      <c r="I167" s="105"/>
    </row>
    <row r="168" spans="1:9" ht="15" thickBot="1" x14ac:dyDescent="0.35">
      <c r="A168" s="34" t="s">
        <v>291</v>
      </c>
      <c r="B168" s="36" t="s">
        <v>292</v>
      </c>
      <c r="C168" s="35"/>
      <c r="D168" s="35"/>
      <c r="E168" s="35"/>
      <c r="F168" s="35"/>
      <c r="G168" s="35"/>
      <c r="H168" s="35"/>
      <c r="I168" s="117">
        <f>I169+I170+I171</f>
        <v>816770.48438702978</v>
      </c>
    </row>
    <row r="169" spans="1:9" ht="28.2" thickBot="1" x14ac:dyDescent="0.35">
      <c r="A169" s="23" t="s">
        <v>293</v>
      </c>
      <c r="B169" s="26" t="s">
        <v>294</v>
      </c>
      <c r="C169" s="24" t="s">
        <v>158</v>
      </c>
      <c r="D169" s="28">
        <v>31725.4</v>
      </c>
      <c r="E169" s="93">
        <f>18.35*(1.184419)</f>
        <v>21.734088650000004</v>
      </c>
      <c r="F169" s="93"/>
      <c r="G169" s="93"/>
      <c r="H169" s="104">
        <f t="shared" si="10"/>
        <v>21.734088650000004</v>
      </c>
      <c r="I169" s="105">
        <f t="shared" si="11"/>
        <v>689522.65605671017</v>
      </c>
    </row>
    <row r="170" spans="1:9" ht="15" thickBot="1" x14ac:dyDescent="0.35">
      <c r="A170" s="23" t="s">
        <v>295</v>
      </c>
      <c r="B170" s="26" t="s">
        <v>296</v>
      </c>
      <c r="C170" s="24" t="s">
        <v>158</v>
      </c>
      <c r="D170" s="28">
        <v>3975.29</v>
      </c>
      <c r="E170" s="93">
        <f>4.2*(1.184419)</f>
        <v>4.9745598000000006</v>
      </c>
      <c r="F170" s="93">
        <f>15.34*(1.184419)</f>
        <v>18.16898746</v>
      </c>
      <c r="G170" s="93">
        <f>0.92*(1.184419)</f>
        <v>1.0896654800000001</v>
      </c>
      <c r="H170" s="104">
        <f t="shared" si="10"/>
        <v>24.233212740000003</v>
      </c>
      <c r="I170" s="105">
        <f t="shared" si="11"/>
        <v>96334.04827319461</v>
      </c>
    </row>
    <row r="171" spans="1:9" ht="28.2" thickBot="1" x14ac:dyDescent="0.35">
      <c r="A171" s="23" t="s">
        <v>297</v>
      </c>
      <c r="B171" s="26" t="s">
        <v>298</v>
      </c>
      <c r="C171" s="24" t="s">
        <v>158</v>
      </c>
      <c r="D171" s="28">
        <v>1067.5</v>
      </c>
      <c r="E171" s="93">
        <f>24.45*(1.184419)</f>
        <v>28.959044550000002</v>
      </c>
      <c r="F171" s="93"/>
      <c r="G171" s="93"/>
      <c r="H171" s="104">
        <f t="shared" si="10"/>
        <v>28.959044550000002</v>
      </c>
      <c r="I171" s="105">
        <f t="shared" si="11"/>
        <v>30913.780057125001</v>
      </c>
    </row>
    <row r="172" spans="1:9" ht="15" thickBot="1" x14ac:dyDescent="0.35">
      <c r="A172" s="30"/>
      <c r="B172" s="26"/>
      <c r="C172" s="26"/>
      <c r="D172" s="26"/>
      <c r="E172" s="93"/>
      <c r="F172" s="93"/>
      <c r="G172" s="93"/>
      <c r="H172" s="104"/>
      <c r="I172" s="105"/>
    </row>
    <row r="173" spans="1:9" ht="15" thickBot="1" x14ac:dyDescent="0.35">
      <c r="A173" s="18" t="s">
        <v>299</v>
      </c>
      <c r="B173" s="20" t="s">
        <v>300</v>
      </c>
      <c r="C173" s="19"/>
      <c r="D173" s="19"/>
      <c r="E173" s="19"/>
      <c r="F173" s="19"/>
      <c r="G173" s="19"/>
      <c r="H173" s="19"/>
      <c r="I173" s="115">
        <f>I174+I183+I187+I197+I203+I210+I222+I234+I237+I242+I247+I267+I274+I279+I303+I373+I381</f>
        <v>4775612.8330247551</v>
      </c>
    </row>
    <row r="174" spans="1:9" ht="15" thickBot="1" x14ac:dyDescent="0.35">
      <c r="A174" s="34" t="s">
        <v>301</v>
      </c>
      <c r="B174" s="36" t="s">
        <v>302</v>
      </c>
      <c r="C174" s="35"/>
      <c r="D174" s="35"/>
      <c r="E174" s="35"/>
      <c r="F174" s="35"/>
      <c r="G174" s="35"/>
      <c r="H174" s="35"/>
      <c r="I174" s="117">
        <f>SUM(I175:I181)</f>
        <v>238366.63289328243</v>
      </c>
    </row>
    <row r="175" spans="1:9" ht="42" thickBot="1" x14ac:dyDescent="0.35">
      <c r="A175" s="23" t="s">
        <v>303</v>
      </c>
      <c r="B175" s="26" t="s">
        <v>287</v>
      </c>
      <c r="C175" s="24" t="s">
        <v>66</v>
      </c>
      <c r="D175" s="27">
        <v>970.4</v>
      </c>
      <c r="E175" s="93">
        <f>78.42*(1.184419)</f>
        <v>92.88213798000001</v>
      </c>
      <c r="F175" s="93">
        <f>49.18*(1.184419)</f>
        <v>58.249726420000002</v>
      </c>
      <c r="G175" s="93">
        <f>4.02*(1.184419)</f>
        <v>4.7613643799999998</v>
      </c>
      <c r="H175" s="104">
        <f t="shared" si="10"/>
        <v>155.89322878000002</v>
      </c>
      <c r="I175" s="105">
        <f t="shared" si="11"/>
        <v>151278.78920811202</v>
      </c>
    </row>
    <row r="176" spans="1:9" ht="15" thickBot="1" x14ac:dyDescent="0.35">
      <c r="A176" s="23" t="s">
        <v>304</v>
      </c>
      <c r="B176" s="26" t="s">
        <v>305</v>
      </c>
      <c r="C176" s="24" t="s">
        <v>103</v>
      </c>
      <c r="D176" s="27">
        <v>47.92</v>
      </c>
      <c r="E176" s="93">
        <f>374.09*(1.184419)</f>
        <v>443.07930371000003</v>
      </c>
      <c r="F176" s="93">
        <f>292.55*(1.184419)</f>
        <v>346.50177845000002</v>
      </c>
      <c r="G176" s="93">
        <f>26.67*(1.184419)</f>
        <v>31.588454730000006</v>
      </c>
      <c r="H176" s="104">
        <f t="shared" si="10"/>
        <v>821.16953689000002</v>
      </c>
      <c r="I176" s="105">
        <f t="shared" si="11"/>
        <v>39350.4442077688</v>
      </c>
    </row>
    <row r="177" spans="1:9" ht="42" thickBot="1" x14ac:dyDescent="0.35">
      <c r="A177" s="23" t="s">
        <v>306</v>
      </c>
      <c r="B177" s="26" t="s">
        <v>307</v>
      </c>
      <c r="C177" s="24" t="s">
        <v>66</v>
      </c>
      <c r="D177" s="27">
        <v>74.680000000000007</v>
      </c>
      <c r="E177" s="93">
        <f>187.71*(1.184419)</f>
        <v>222.32729049000002</v>
      </c>
      <c r="F177" s="93">
        <f>30.7*(1.184419)</f>
        <v>36.361663300000004</v>
      </c>
      <c r="G177" s="93">
        <f>4.71*(1.184419)</f>
        <v>5.5786134900000004</v>
      </c>
      <c r="H177" s="104">
        <f t="shared" si="10"/>
        <v>264.26756728000004</v>
      </c>
      <c r="I177" s="105">
        <f t="shared" si="11"/>
        <v>19735.501924470405</v>
      </c>
    </row>
    <row r="178" spans="1:9" ht="28.2" thickBot="1" x14ac:dyDescent="0.35">
      <c r="A178" s="23" t="s">
        <v>308</v>
      </c>
      <c r="B178" s="26" t="s">
        <v>309</v>
      </c>
      <c r="C178" s="24" t="s">
        <v>66</v>
      </c>
      <c r="D178" s="27">
        <v>14.56</v>
      </c>
      <c r="E178" s="93">
        <f>119.66*(1.184419)</f>
        <v>141.72757754</v>
      </c>
      <c r="F178" s="93">
        <f>64.37*(1.184419)</f>
        <v>76.241051030000008</v>
      </c>
      <c r="G178" s="93"/>
      <c r="H178" s="104">
        <f t="shared" si="10"/>
        <v>217.96862857000002</v>
      </c>
      <c r="I178" s="105">
        <f t="shared" si="11"/>
        <v>3173.6232319792002</v>
      </c>
    </row>
    <row r="179" spans="1:9" ht="28.2" thickBot="1" x14ac:dyDescent="0.35">
      <c r="A179" s="23" t="s">
        <v>310</v>
      </c>
      <c r="B179" s="26" t="s">
        <v>311</v>
      </c>
      <c r="C179" s="24" t="s">
        <v>66</v>
      </c>
      <c r="D179" s="27">
        <v>30.78</v>
      </c>
      <c r="E179" s="93">
        <f>414.85*(1.184419)</f>
        <v>491.35622215000006</v>
      </c>
      <c r="F179" s="93">
        <f>63*(1.184419)</f>
        <v>74.618397000000002</v>
      </c>
      <c r="G179" s="93">
        <f>3.75*(1.184419)</f>
        <v>4.4415712500000009</v>
      </c>
      <c r="H179" s="104">
        <f t="shared" si="10"/>
        <v>570.41619040000012</v>
      </c>
      <c r="I179" s="105">
        <f t="shared" si="11"/>
        <v>17557.410340512004</v>
      </c>
    </row>
    <row r="180" spans="1:9" ht="42" thickBot="1" x14ac:dyDescent="0.35">
      <c r="A180" s="23" t="s">
        <v>312</v>
      </c>
      <c r="B180" s="26" t="s">
        <v>313</v>
      </c>
      <c r="C180" s="24" t="s">
        <v>66</v>
      </c>
      <c r="D180" s="27">
        <v>6</v>
      </c>
      <c r="E180" s="93">
        <f>601.58*(1.184419)</f>
        <v>712.52278202000014</v>
      </c>
      <c r="F180" s="93"/>
      <c r="G180" s="93"/>
      <c r="H180" s="104">
        <f t="shared" si="10"/>
        <v>712.52278202000014</v>
      </c>
      <c r="I180" s="105">
        <f t="shared" si="11"/>
        <v>4275.1366921200006</v>
      </c>
    </row>
    <row r="181" spans="1:9" ht="15" thickBot="1" x14ac:dyDescent="0.35">
      <c r="A181" s="23" t="s">
        <v>314</v>
      </c>
      <c r="B181" s="26" t="s">
        <v>315</v>
      </c>
      <c r="C181" s="24" t="s">
        <v>49</v>
      </c>
      <c r="D181" s="27">
        <v>2</v>
      </c>
      <c r="E181" s="93">
        <f>1034.87*(1.184419)</f>
        <v>1225.71969053</v>
      </c>
      <c r="F181" s="93">
        <f>213.01*(1.184419)</f>
        <v>252.29309119000001</v>
      </c>
      <c r="G181" s="93">
        <f>16.76*(1.184419)</f>
        <v>19.850862440000004</v>
      </c>
      <c r="H181" s="104">
        <f t="shared" si="10"/>
        <v>1497.8636441599999</v>
      </c>
      <c r="I181" s="105">
        <f t="shared" si="11"/>
        <v>2995.7272883199998</v>
      </c>
    </row>
    <row r="182" spans="1:9" ht="15" thickBot="1" x14ac:dyDescent="0.35">
      <c r="A182" s="30"/>
      <c r="B182" s="26"/>
      <c r="C182" s="26"/>
      <c r="D182" s="26"/>
      <c r="E182" s="93"/>
      <c r="F182" s="93"/>
      <c r="G182" s="93"/>
      <c r="H182" s="104"/>
      <c r="I182" s="105"/>
    </row>
    <row r="183" spans="1:9" ht="15" thickBot="1" x14ac:dyDescent="0.35">
      <c r="A183" s="34" t="s">
        <v>316</v>
      </c>
      <c r="B183" s="36" t="s">
        <v>317</v>
      </c>
      <c r="C183" s="35"/>
      <c r="D183" s="35"/>
      <c r="E183" s="35"/>
      <c r="F183" s="35"/>
      <c r="G183" s="35"/>
      <c r="H183" s="35"/>
      <c r="I183" s="116">
        <f>I184+I185</f>
        <v>56262.271338000006</v>
      </c>
    </row>
    <row r="184" spans="1:9" ht="84.6" thickBot="1" x14ac:dyDescent="0.35">
      <c r="A184" s="23" t="s">
        <v>318</v>
      </c>
      <c r="B184" s="94" t="s">
        <v>319</v>
      </c>
      <c r="C184" s="24" t="s">
        <v>49</v>
      </c>
      <c r="D184" s="27">
        <v>29.25</v>
      </c>
      <c r="E184" s="93">
        <f>1400*(1.184419)</f>
        <v>1658.1866000000002</v>
      </c>
      <c r="F184" s="93"/>
      <c r="G184" s="93"/>
      <c r="H184" s="104">
        <f t="shared" si="10"/>
        <v>1658.1866000000002</v>
      </c>
      <c r="I184" s="105">
        <f t="shared" si="11"/>
        <v>48501.958050000008</v>
      </c>
    </row>
    <row r="185" spans="1:9" ht="72.599999999999994" thickBot="1" x14ac:dyDescent="0.35">
      <c r="A185" s="23" t="s">
        <v>320</v>
      </c>
      <c r="B185" s="94" t="s">
        <v>321</v>
      </c>
      <c r="C185" s="24" t="s">
        <v>49</v>
      </c>
      <c r="D185" s="27">
        <v>4.68</v>
      </c>
      <c r="E185" s="93">
        <f>1400*(1.184419)</f>
        <v>1658.1866000000002</v>
      </c>
      <c r="F185" s="93"/>
      <c r="G185" s="93"/>
      <c r="H185" s="104">
        <f t="shared" si="10"/>
        <v>1658.1866000000002</v>
      </c>
      <c r="I185" s="105">
        <f t="shared" si="11"/>
        <v>7760.3132880000003</v>
      </c>
    </row>
    <row r="186" spans="1:9" ht="15" thickBot="1" x14ac:dyDescent="0.35">
      <c r="A186" s="30"/>
      <c r="B186" s="26"/>
      <c r="C186" s="26"/>
      <c r="D186" s="26"/>
      <c r="E186" s="93"/>
      <c r="F186" s="93"/>
      <c r="G186" s="93"/>
      <c r="H186" s="104"/>
      <c r="I186" s="105"/>
    </row>
    <row r="187" spans="1:9" ht="15" thickBot="1" x14ac:dyDescent="0.35">
      <c r="A187" s="34" t="s">
        <v>322</v>
      </c>
      <c r="B187" s="36" t="s">
        <v>323</v>
      </c>
      <c r="C187" s="35"/>
      <c r="D187" s="35"/>
      <c r="E187" s="35"/>
      <c r="F187" s="35"/>
      <c r="G187" s="35"/>
      <c r="H187" s="35"/>
      <c r="I187" s="117">
        <f>SUM(I188:I195)</f>
        <v>170528.47135860604</v>
      </c>
    </row>
    <row r="188" spans="1:9" ht="42" thickBot="1" x14ac:dyDescent="0.35">
      <c r="A188" s="23" t="s">
        <v>324</v>
      </c>
      <c r="B188" s="26" t="s">
        <v>325</v>
      </c>
      <c r="C188" s="24" t="s">
        <v>66</v>
      </c>
      <c r="D188" s="27">
        <v>775.32</v>
      </c>
      <c r="E188" s="93">
        <f>2.07*(1.184419)</f>
        <v>2.4517473299999999</v>
      </c>
      <c r="F188" s="93">
        <f>2.6*(1.184419)</f>
        <v>3.0794894000000004</v>
      </c>
      <c r="G188" s="93">
        <f>0.22*(1.184419)</f>
        <v>0.26057218000000004</v>
      </c>
      <c r="H188" s="104">
        <f t="shared" si="10"/>
        <v>5.7918089100000003</v>
      </c>
      <c r="I188" s="105">
        <f t="shared" si="11"/>
        <v>4490.5052841012002</v>
      </c>
    </row>
    <row r="189" spans="1:9" ht="55.8" thickBot="1" x14ac:dyDescent="0.35">
      <c r="A189" s="23" t="s">
        <v>326</v>
      </c>
      <c r="B189" s="26" t="s">
        <v>327</v>
      </c>
      <c r="C189" s="24" t="s">
        <v>66</v>
      </c>
      <c r="D189" s="27">
        <v>775.32</v>
      </c>
      <c r="E189" s="93">
        <f>19.72*(1.184419)</f>
        <v>23.35674268</v>
      </c>
      <c r="F189" s="93">
        <f>16.92*(1.184419)</f>
        <v>20.040369480000003</v>
      </c>
      <c r="G189" s="93">
        <f>1.5*(1.184419)</f>
        <v>1.7766285000000002</v>
      </c>
      <c r="H189" s="104">
        <f t="shared" si="10"/>
        <v>45.173740660000007</v>
      </c>
      <c r="I189" s="105">
        <f t="shared" si="11"/>
        <v>35024.10460851121</v>
      </c>
    </row>
    <row r="190" spans="1:9" ht="15" thickBot="1" x14ac:dyDescent="0.35">
      <c r="A190" s="23" t="s">
        <v>328</v>
      </c>
      <c r="B190" s="26" t="s">
        <v>329</v>
      </c>
      <c r="C190" s="24" t="s">
        <v>66</v>
      </c>
      <c r="D190" s="27">
        <v>327.18</v>
      </c>
      <c r="E190" s="93">
        <f>22.48*(1.184419)</f>
        <v>26.625739120000002</v>
      </c>
      <c r="F190" s="93">
        <f>5.01*(1.184419)</f>
        <v>5.9339391900000003</v>
      </c>
      <c r="G190" s="93">
        <f>0.48*(1.184419)</f>
        <v>0.56852111999999999</v>
      </c>
      <c r="H190" s="104">
        <f t="shared" si="10"/>
        <v>33.128199430000002</v>
      </c>
      <c r="I190" s="105">
        <f t="shared" si="11"/>
        <v>10838.884289507401</v>
      </c>
    </row>
    <row r="191" spans="1:9" ht="15" thickBot="1" x14ac:dyDescent="0.35">
      <c r="A191" s="23" t="s">
        <v>330</v>
      </c>
      <c r="B191" s="26" t="s">
        <v>331</v>
      </c>
      <c r="C191" s="24" t="s">
        <v>66</v>
      </c>
      <c r="D191" s="27">
        <v>353.16</v>
      </c>
      <c r="E191" s="93">
        <f>82.46*(1.184419)</f>
        <v>97.667190739999995</v>
      </c>
      <c r="F191" s="93">
        <f>25.45*(1.184419)</f>
        <v>30.143463550000003</v>
      </c>
      <c r="G191" s="93">
        <f>1.97*(1.184419)</f>
        <v>2.3333054300000002</v>
      </c>
      <c r="H191" s="104">
        <f t="shared" si="10"/>
        <v>130.14395972</v>
      </c>
      <c r="I191" s="105">
        <f t="shared" si="11"/>
        <v>45961.640814715203</v>
      </c>
    </row>
    <row r="192" spans="1:9" ht="19.2" customHeight="1" thickBot="1" x14ac:dyDescent="0.35">
      <c r="A192" s="23" t="s">
        <v>332</v>
      </c>
      <c r="B192" s="26" t="s">
        <v>333</v>
      </c>
      <c r="C192" s="24" t="s">
        <v>66</v>
      </c>
      <c r="D192" s="27">
        <v>30.21</v>
      </c>
      <c r="E192" s="93">
        <f>191.8*(1.184419)</f>
        <v>227.17156420000003</v>
      </c>
      <c r="F192" s="93">
        <f>15.21*(1.184419)</f>
        <v>18.015012990000002</v>
      </c>
      <c r="G192" s="93">
        <f>0.04*(1.184419)</f>
        <v>4.7376760000000004E-2</v>
      </c>
      <c r="H192" s="104">
        <f t="shared" si="10"/>
        <v>245.23395395000003</v>
      </c>
      <c r="I192" s="105">
        <f t="shared" si="11"/>
        <v>7408.5177488295012</v>
      </c>
    </row>
    <row r="193" spans="1:9" ht="21.6" customHeight="1" thickBot="1" x14ac:dyDescent="0.35">
      <c r="A193" s="23" t="s">
        <v>334</v>
      </c>
      <c r="B193" s="26" t="s">
        <v>335</v>
      </c>
      <c r="C193" s="24" t="s">
        <v>66</v>
      </c>
      <c r="D193" s="27">
        <v>64.77</v>
      </c>
      <c r="E193" s="93">
        <f>191.8*(1.184419)</f>
        <v>227.17156420000003</v>
      </c>
      <c r="F193" s="93">
        <f>15.21*(1.184419)</f>
        <v>18.015012990000002</v>
      </c>
      <c r="G193" s="93">
        <f>0.04*(1.184419)</f>
        <v>4.7376760000000004E-2</v>
      </c>
      <c r="H193" s="104">
        <f t="shared" si="10"/>
        <v>245.23395395000003</v>
      </c>
      <c r="I193" s="105">
        <f t="shared" si="11"/>
        <v>15883.8031973415</v>
      </c>
    </row>
    <row r="194" spans="1:9" ht="15" thickBot="1" x14ac:dyDescent="0.35">
      <c r="A194" s="23" t="s">
        <v>336</v>
      </c>
      <c r="B194" s="26" t="s">
        <v>337</v>
      </c>
      <c r="C194" s="24" t="s">
        <v>66</v>
      </c>
      <c r="D194" s="27">
        <v>115</v>
      </c>
      <c r="E194" s="93">
        <f>100.99*(1.184419)</f>
        <v>119.61447481</v>
      </c>
      <c r="F194" s="93">
        <f>124.77*(1.184419)</f>
        <v>147.77995863000001</v>
      </c>
      <c r="G194" s="93"/>
      <c r="H194" s="104">
        <f t="shared" si="10"/>
        <v>267.39443344</v>
      </c>
      <c r="I194" s="105">
        <f t="shared" si="11"/>
        <v>30750.3598456</v>
      </c>
    </row>
    <row r="195" spans="1:9" ht="46.2" customHeight="1" thickBot="1" x14ac:dyDescent="0.35">
      <c r="A195" s="23" t="s">
        <v>338</v>
      </c>
      <c r="B195" s="26" t="s">
        <v>339</v>
      </c>
      <c r="C195" s="24" t="s">
        <v>340</v>
      </c>
      <c r="D195" s="27">
        <v>13.1</v>
      </c>
      <c r="E195" s="93">
        <f>1300*(1.184419)</f>
        <v>1539.7447000000002</v>
      </c>
      <c r="F195" s="93"/>
      <c r="G195" s="93"/>
      <c r="H195" s="104">
        <f t="shared" si="10"/>
        <v>1539.7447000000002</v>
      </c>
      <c r="I195" s="105">
        <f t="shared" si="11"/>
        <v>20170.655570000003</v>
      </c>
    </row>
    <row r="196" spans="1:9" ht="15" thickBot="1" x14ac:dyDescent="0.35">
      <c r="A196" s="30"/>
      <c r="B196" s="26"/>
      <c r="C196" s="26"/>
      <c r="D196" s="26"/>
      <c r="E196" s="93"/>
      <c r="F196" s="93"/>
      <c r="G196" s="93"/>
      <c r="H196" s="104"/>
      <c r="I196" s="105"/>
    </row>
    <row r="197" spans="1:9" ht="15" thickBot="1" x14ac:dyDescent="0.35">
      <c r="A197" s="34" t="s">
        <v>341</v>
      </c>
      <c r="B197" s="36" t="s">
        <v>342</v>
      </c>
      <c r="C197" s="35"/>
      <c r="D197" s="35"/>
      <c r="E197" s="35"/>
      <c r="F197" s="35"/>
      <c r="G197" s="35"/>
      <c r="H197" s="35"/>
      <c r="I197" s="117">
        <f>SUM(I198:I201)</f>
        <v>147355.30888592999</v>
      </c>
    </row>
    <row r="198" spans="1:9" ht="15" thickBot="1" x14ac:dyDescent="0.35">
      <c r="A198" s="23" t="s">
        <v>343</v>
      </c>
      <c r="B198" s="26" t="s">
        <v>344</v>
      </c>
      <c r="C198" s="24" t="s">
        <v>66</v>
      </c>
      <c r="D198" s="27">
        <v>327.18</v>
      </c>
      <c r="E198" s="93">
        <f>29.44*(1.184419)</f>
        <v>34.869295360000002</v>
      </c>
      <c r="F198" s="93">
        <f>37.48*(1.184419)</f>
        <v>44.392024120000002</v>
      </c>
      <c r="G198" s="93">
        <f>4.29*(1.184419)</f>
        <v>5.0811575100000006</v>
      </c>
      <c r="H198" s="104">
        <f t="shared" si="10"/>
        <v>84.342476989999994</v>
      </c>
      <c r="I198" s="105">
        <f t="shared" si="11"/>
        <v>27595.171621588197</v>
      </c>
    </row>
    <row r="199" spans="1:9" ht="28.2" thickBot="1" x14ac:dyDescent="0.35">
      <c r="A199" s="23" t="s">
        <v>345</v>
      </c>
      <c r="B199" s="26" t="s">
        <v>346</v>
      </c>
      <c r="C199" s="24" t="s">
        <v>66</v>
      </c>
      <c r="D199" s="28">
        <v>1169.46</v>
      </c>
      <c r="E199" s="93">
        <f>15.61*(1.184419)</f>
        <v>18.488780590000001</v>
      </c>
      <c r="F199" s="93">
        <f>11.13*(1.184419)</f>
        <v>13.182583470000003</v>
      </c>
      <c r="G199" s="93">
        <f>1.33*(1.184419)</f>
        <v>1.5752772700000002</v>
      </c>
      <c r="H199" s="104">
        <f t="shared" si="10"/>
        <v>33.246641330000003</v>
      </c>
      <c r="I199" s="105">
        <f t="shared" si="11"/>
        <v>38880.617169781806</v>
      </c>
    </row>
    <row r="200" spans="1:9" ht="42" thickBot="1" x14ac:dyDescent="0.35">
      <c r="A200" s="23" t="s">
        <v>347</v>
      </c>
      <c r="B200" s="26" t="s">
        <v>348</v>
      </c>
      <c r="C200" s="24" t="s">
        <v>66</v>
      </c>
      <c r="D200" s="27">
        <v>30</v>
      </c>
      <c r="E200" s="93">
        <f>18.92*(1.184419)</f>
        <v>22.409207480000003</v>
      </c>
      <c r="F200" s="93">
        <f>32.15*(1.184419)</f>
        <v>38.079070850000001</v>
      </c>
      <c r="G200" s="93">
        <f>4.04*(1.184419)</f>
        <v>4.7850527600000001</v>
      </c>
      <c r="H200" s="104">
        <f t="shared" ref="H200:H263" si="12">E200+F200+G200</f>
        <v>65.273331089999999</v>
      </c>
      <c r="I200" s="105">
        <f t="shared" ref="I200:I263" si="13">H200*D200</f>
        <v>1958.1999326999999</v>
      </c>
    </row>
    <row r="201" spans="1:9" ht="42" thickBot="1" x14ac:dyDescent="0.35">
      <c r="A201" s="23" t="s">
        <v>349</v>
      </c>
      <c r="B201" s="26" t="s">
        <v>350</v>
      </c>
      <c r="C201" s="24" t="s">
        <v>66</v>
      </c>
      <c r="D201" s="27">
        <v>461</v>
      </c>
      <c r="E201" s="93">
        <f>93.38*(1.184419)</f>
        <v>110.60104622</v>
      </c>
      <c r="F201" s="93">
        <f>51.05*(1.184419)</f>
        <v>60.464589950000004</v>
      </c>
      <c r="G201" s="93">
        <f>0.11*(1.184419)</f>
        <v>0.13028609000000002</v>
      </c>
      <c r="H201" s="104">
        <f t="shared" si="12"/>
        <v>171.19592226</v>
      </c>
      <c r="I201" s="105">
        <f t="shared" si="13"/>
        <v>78921.32016186</v>
      </c>
    </row>
    <row r="202" spans="1:9" ht="15" thickBot="1" x14ac:dyDescent="0.35">
      <c r="A202" s="30"/>
      <c r="B202" s="26"/>
      <c r="C202" s="26"/>
      <c r="D202" s="26"/>
      <c r="E202" s="93"/>
      <c r="F202" s="93"/>
      <c r="G202" s="93"/>
      <c r="H202" s="104"/>
      <c r="I202" s="105"/>
    </row>
    <row r="203" spans="1:9" ht="15" thickBot="1" x14ac:dyDescent="0.35">
      <c r="A203" s="34" t="s">
        <v>351</v>
      </c>
      <c r="B203" s="36" t="s">
        <v>352</v>
      </c>
      <c r="C203" s="35"/>
      <c r="D203" s="35"/>
      <c r="E203" s="35"/>
      <c r="F203" s="35"/>
      <c r="G203" s="35"/>
      <c r="H203" s="35"/>
      <c r="I203" s="117">
        <f>SUM(I205:I208)</f>
        <v>44760.659254744904</v>
      </c>
    </row>
    <row r="204" spans="1:9" ht="15" thickBot="1" x14ac:dyDescent="0.35">
      <c r="A204" s="40" t="s">
        <v>353</v>
      </c>
      <c r="B204" s="41" t="s">
        <v>354</v>
      </c>
      <c r="C204" s="26"/>
      <c r="D204" s="26"/>
      <c r="E204" s="93"/>
      <c r="F204" s="93"/>
      <c r="G204" s="93"/>
      <c r="H204" s="104"/>
      <c r="I204" s="105"/>
    </row>
    <row r="205" spans="1:9" ht="15" thickBot="1" x14ac:dyDescent="0.35">
      <c r="A205" s="23" t="s">
        <v>355</v>
      </c>
      <c r="B205" s="26" t="s">
        <v>356</v>
      </c>
      <c r="C205" s="24" t="s">
        <v>103</v>
      </c>
      <c r="D205" s="27">
        <v>21.3</v>
      </c>
      <c r="E205" s="93">
        <f>28.96*(1.184419)</f>
        <v>34.300774240000003</v>
      </c>
      <c r="F205" s="93">
        <f>86.39*(1.184419)</f>
        <v>102.32195741000001</v>
      </c>
      <c r="G205" s="93">
        <f>8.57*(1.184419)</f>
        <v>10.150470830000001</v>
      </c>
      <c r="H205" s="104">
        <f t="shared" si="12"/>
        <v>146.77320248000001</v>
      </c>
      <c r="I205" s="105">
        <f t="shared" si="13"/>
        <v>3126.2692128240001</v>
      </c>
    </row>
    <row r="206" spans="1:9" ht="28.2" thickBot="1" x14ac:dyDescent="0.35">
      <c r="A206" s="23" t="s">
        <v>357</v>
      </c>
      <c r="B206" s="26" t="s">
        <v>170</v>
      </c>
      <c r="C206" s="24" t="s">
        <v>103</v>
      </c>
      <c r="D206" s="27">
        <v>10.65</v>
      </c>
      <c r="E206" s="93">
        <f>336.02*(1.184419)</f>
        <v>397.98847238000002</v>
      </c>
      <c r="F206" s="93">
        <f>250.63*(1.184419)</f>
        <v>296.85093397000003</v>
      </c>
      <c r="G206" s="93">
        <f>22.5*(1.184419)</f>
        <v>26.649427500000002</v>
      </c>
      <c r="H206" s="104">
        <f t="shared" si="12"/>
        <v>721.48883384999999</v>
      </c>
      <c r="I206" s="105">
        <f t="shared" si="13"/>
        <v>7683.8560805024999</v>
      </c>
    </row>
    <row r="207" spans="1:9" ht="15" thickBot="1" x14ac:dyDescent="0.35">
      <c r="A207" s="23" t="s">
        <v>358</v>
      </c>
      <c r="B207" s="26" t="s">
        <v>359</v>
      </c>
      <c r="C207" s="24" t="s">
        <v>66</v>
      </c>
      <c r="D207" s="27">
        <v>387.68</v>
      </c>
      <c r="E207" s="93">
        <f>25.69*(1.184419)</f>
        <v>30.427724110000003</v>
      </c>
      <c r="F207" s="93">
        <f>3.28*(1.184419)</f>
        <v>3.8848943200000003</v>
      </c>
      <c r="G207" s="93">
        <f>0.3*(1.184419)</f>
        <v>0.35532570000000002</v>
      </c>
      <c r="H207" s="104">
        <f t="shared" si="12"/>
        <v>34.667944130000002</v>
      </c>
      <c r="I207" s="105">
        <f t="shared" si="13"/>
        <v>13440.068580318401</v>
      </c>
    </row>
    <row r="208" spans="1:9" ht="42" thickBot="1" x14ac:dyDescent="0.35">
      <c r="A208" s="23" t="s">
        <v>360</v>
      </c>
      <c r="B208" s="26" t="s">
        <v>361</v>
      </c>
      <c r="C208" s="24" t="s">
        <v>66</v>
      </c>
      <c r="D208" s="27">
        <v>213</v>
      </c>
      <c r="E208" s="93">
        <f>61.2*(1.184419)</f>
        <v>72.486442800000006</v>
      </c>
      <c r="F208" s="93">
        <f>18.54*(1.184419)</f>
        <v>21.95912826</v>
      </c>
      <c r="G208" s="93">
        <f>1.56*(1.184419)</f>
        <v>1.8476936400000001</v>
      </c>
      <c r="H208" s="104">
        <f t="shared" si="12"/>
        <v>96.293264700000009</v>
      </c>
      <c r="I208" s="105">
        <f t="shared" si="13"/>
        <v>20510.465381100003</v>
      </c>
    </row>
    <row r="209" spans="1:9" ht="15" thickBot="1" x14ac:dyDescent="0.35">
      <c r="A209" s="30"/>
      <c r="B209" s="26"/>
      <c r="C209" s="26"/>
      <c r="D209" s="26"/>
      <c r="E209" s="93"/>
      <c r="F209" s="93"/>
      <c r="G209" s="93"/>
      <c r="H209" s="104"/>
      <c r="I209" s="105"/>
    </row>
    <row r="210" spans="1:9" ht="15" thickBot="1" x14ac:dyDescent="0.35">
      <c r="A210" s="34" t="s">
        <v>362</v>
      </c>
      <c r="B210" s="36" t="s">
        <v>363</v>
      </c>
      <c r="C210" s="35"/>
      <c r="D210" s="35"/>
      <c r="E210" s="35"/>
      <c r="F210" s="35"/>
      <c r="G210" s="35"/>
      <c r="H210" s="35"/>
      <c r="I210" s="117">
        <f>SUM(I211:I220)</f>
        <v>351150.47509106691</v>
      </c>
    </row>
    <row r="211" spans="1:9" ht="28.2" thickBot="1" x14ac:dyDescent="0.35">
      <c r="A211" s="23" t="s">
        <v>364</v>
      </c>
      <c r="B211" s="26" t="s">
        <v>365</v>
      </c>
      <c r="C211" s="24" t="s">
        <v>66</v>
      </c>
      <c r="D211" s="28">
        <v>1061.51</v>
      </c>
      <c r="E211" s="93">
        <f>0.62*(1.184419)</f>
        <v>0.73433978000000011</v>
      </c>
      <c r="F211" s="93">
        <f>0.89*(1.184419)</f>
        <v>1.0541329100000001</v>
      </c>
      <c r="G211" s="93">
        <f>1.26*(1.184419)</f>
        <v>1.4923679400000001</v>
      </c>
      <c r="H211" s="104">
        <f t="shared" si="12"/>
        <v>3.2808406300000001</v>
      </c>
      <c r="I211" s="105">
        <f t="shared" si="13"/>
        <v>3482.6451371513003</v>
      </c>
    </row>
    <row r="212" spans="1:9" ht="42" thickBot="1" x14ac:dyDescent="0.35">
      <c r="A212" s="23" t="s">
        <v>366</v>
      </c>
      <c r="B212" s="26" t="s">
        <v>367</v>
      </c>
      <c r="C212" s="24" t="s">
        <v>103</v>
      </c>
      <c r="D212" s="27">
        <v>106.15</v>
      </c>
      <c r="E212" s="93">
        <f>169.1*(1.184419)</f>
        <v>200.28525290000002</v>
      </c>
      <c r="F212" s="93">
        <f>6.17*(1.184419)</f>
        <v>7.3078652300000009</v>
      </c>
      <c r="G212" s="93">
        <f>10.04*(1.184419)</f>
        <v>11.89156676</v>
      </c>
      <c r="H212" s="104">
        <f t="shared" si="12"/>
        <v>219.48468489000001</v>
      </c>
      <c r="I212" s="105">
        <f t="shared" si="13"/>
        <v>23298.299301073501</v>
      </c>
    </row>
    <row r="213" spans="1:9" ht="15" thickBot="1" x14ac:dyDescent="0.35">
      <c r="A213" s="23" t="s">
        <v>368</v>
      </c>
      <c r="B213" s="26" t="s">
        <v>369</v>
      </c>
      <c r="C213" s="24" t="s">
        <v>66</v>
      </c>
      <c r="D213" s="28">
        <v>2123.02</v>
      </c>
      <c r="E213" s="93">
        <f>58.4*(1.184419)</f>
        <v>69.170069600000005</v>
      </c>
      <c r="F213" s="93">
        <f>3.2*(1.184419)</f>
        <v>3.7901408000000005</v>
      </c>
      <c r="G213" s="93">
        <f>0.3*(1.184419)</f>
        <v>0.35532570000000002</v>
      </c>
      <c r="H213" s="104">
        <f t="shared" si="12"/>
        <v>73.315536100000003</v>
      </c>
      <c r="I213" s="105">
        <f t="shared" si="13"/>
        <v>155650.34945102202</v>
      </c>
    </row>
    <row r="214" spans="1:9" ht="28.2" thickBot="1" x14ac:dyDescent="0.35">
      <c r="A214" s="23" t="s">
        <v>370</v>
      </c>
      <c r="B214" s="26" t="s">
        <v>371</v>
      </c>
      <c r="C214" s="24" t="s">
        <v>103</v>
      </c>
      <c r="D214" s="27">
        <v>212.3</v>
      </c>
      <c r="E214" s="93">
        <f>418.56*(1.184419)</f>
        <v>495.75041664000003</v>
      </c>
      <c r="F214" s="93">
        <f>16.97*(1.184419)</f>
        <v>20.099590429999999</v>
      </c>
      <c r="G214" s="93">
        <f>1.53*(1.184419)</f>
        <v>1.8121610700000002</v>
      </c>
      <c r="H214" s="104">
        <f t="shared" si="12"/>
        <v>517.66216814000006</v>
      </c>
      <c r="I214" s="105">
        <f t="shared" si="13"/>
        <v>109899.67829612202</v>
      </c>
    </row>
    <row r="215" spans="1:9" ht="28.2" thickBot="1" x14ac:dyDescent="0.35">
      <c r="A215" s="23" t="s">
        <v>372</v>
      </c>
      <c r="B215" s="26" t="s">
        <v>373</v>
      </c>
      <c r="C215" s="24" t="s">
        <v>135</v>
      </c>
      <c r="D215" s="27">
        <v>134.57</v>
      </c>
      <c r="E215" s="93">
        <f>10.64*(1.184419)</f>
        <v>12.602218160000001</v>
      </c>
      <c r="F215" s="93">
        <f>5.91*(1.184419)</f>
        <v>6.9999162900000007</v>
      </c>
      <c r="G215" s="93">
        <f>0.01*(1.184419)</f>
        <v>1.1844190000000001E-2</v>
      </c>
      <c r="H215" s="104">
        <f t="shared" si="12"/>
        <v>19.613978640000003</v>
      </c>
      <c r="I215" s="105">
        <f t="shared" si="13"/>
        <v>2639.4531055848001</v>
      </c>
    </row>
    <row r="216" spans="1:9" ht="42" thickBot="1" x14ac:dyDescent="0.35">
      <c r="A216" s="23" t="s">
        <v>374</v>
      </c>
      <c r="B216" s="26" t="s">
        <v>375</v>
      </c>
      <c r="C216" s="24" t="s">
        <v>135</v>
      </c>
      <c r="D216" s="27">
        <v>29.75</v>
      </c>
      <c r="E216" s="93">
        <f>12.22*(1.184419)</f>
        <v>14.473600180000002</v>
      </c>
      <c r="F216" s="93">
        <f>9.12*(1.184419)</f>
        <v>10.801901280000001</v>
      </c>
      <c r="G216" s="93">
        <f>2.27*(1.184419)</f>
        <v>2.6886311300000001</v>
      </c>
      <c r="H216" s="104">
        <f t="shared" si="12"/>
        <v>27.964132590000002</v>
      </c>
      <c r="I216" s="105">
        <f t="shared" si="13"/>
        <v>831.93294455250009</v>
      </c>
    </row>
    <row r="217" spans="1:9" ht="28.2" thickBot="1" x14ac:dyDescent="0.35">
      <c r="A217" s="23" t="s">
        <v>376</v>
      </c>
      <c r="B217" s="26" t="s">
        <v>377</v>
      </c>
      <c r="C217" s="24" t="s">
        <v>135</v>
      </c>
      <c r="D217" s="27">
        <v>105.02</v>
      </c>
      <c r="E217" s="93">
        <f>5.9*(1.184419)</f>
        <v>6.988072100000001</v>
      </c>
      <c r="F217" s="93">
        <f>2.96*(1.184419)</f>
        <v>3.5058802400000002</v>
      </c>
      <c r="G217" s="93"/>
      <c r="H217" s="104">
        <f t="shared" si="12"/>
        <v>10.493952340000002</v>
      </c>
      <c r="I217" s="105">
        <f t="shared" si="13"/>
        <v>1102.0748747468001</v>
      </c>
    </row>
    <row r="218" spans="1:9" ht="28.2" thickBot="1" x14ac:dyDescent="0.35">
      <c r="A218" s="23" t="s">
        <v>378</v>
      </c>
      <c r="B218" s="26" t="s">
        <v>379</v>
      </c>
      <c r="C218" s="24" t="s">
        <v>135</v>
      </c>
      <c r="D218" s="27">
        <v>212</v>
      </c>
      <c r="E218" s="93">
        <f>9.96*(1.184419)</f>
        <v>11.796813240000002</v>
      </c>
      <c r="F218" s="93">
        <f>11.48*(1.184419)</f>
        <v>13.597130120000001</v>
      </c>
      <c r="G218" s="93">
        <f>0.02*(1.184419)</f>
        <v>2.3688380000000002E-2</v>
      </c>
      <c r="H218" s="104">
        <f t="shared" si="12"/>
        <v>25.417631740000001</v>
      </c>
      <c r="I218" s="105">
        <f t="shared" si="13"/>
        <v>5388.5379288800004</v>
      </c>
    </row>
    <row r="219" spans="1:9" ht="15" thickBot="1" x14ac:dyDescent="0.35">
      <c r="A219" s="23" t="s">
        <v>380</v>
      </c>
      <c r="B219" s="26" t="s">
        <v>381</v>
      </c>
      <c r="C219" s="24" t="s">
        <v>135</v>
      </c>
      <c r="D219" s="28">
        <v>1080</v>
      </c>
      <c r="E219" s="93">
        <f>13.22*(1.184419)</f>
        <v>15.658019180000002</v>
      </c>
      <c r="F219" s="93">
        <f>11.48*(1.184419)</f>
        <v>13.597130120000001</v>
      </c>
      <c r="G219" s="93">
        <f>0.02*(1.184419)</f>
        <v>2.3688380000000002E-2</v>
      </c>
      <c r="H219" s="104">
        <f t="shared" si="12"/>
        <v>29.278837680000002</v>
      </c>
      <c r="I219" s="105">
        <f t="shared" si="13"/>
        <v>31621.144694400002</v>
      </c>
    </row>
    <row r="220" spans="1:9" ht="28.2" thickBot="1" x14ac:dyDescent="0.35">
      <c r="A220" s="23" t="s">
        <v>382</v>
      </c>
      <c r="B220" s="26" t="s">
        <v>383</v>
      </c>
      <c r="C220" s="24" t="s">
        <v>158</v>
      </c>
      <c r="D220" s="27">
        <v>685.15</v>
      </c>
      <c r="E220" s="93">
        <f>17.66*(1.184419)</f>
        <v>20.916839540000002</v>
      </c>
      <c r="F220" s="93">
        <f>3.32*(1.184419)</f>
        <v>3.93227108</v>
      </c>
      <c r="G220" s="93">
        <f>0.26*(1.184419)</f>
        <v>0.30794894000000006</v>
      </c>
      <c r="H220" s="104">
        <f t="shared" si="12"/>
        <v>25.15705956</v>
      </c>
      <c r="I220" s="105">
        <f t="shared" si="13"/>
        <v>17236.359357533998</v>
      </c>
    </row>
    <row r="221" spans="1:9" ht="15" thickBot="1" x14ac:dyDescent="0.35">
      <c r="A221" s="30"/>
      <c r="B221" s="26"/>
      <c r="C221" s="26"/>
      <c r="D221" s="26"/>
      <c r="E221" s="93"/>
      <c r="F221" s="93"/>
      <c r="G221" s="93"/>
      <c r="H221" s="104"/>
      <c r="I221" s="105"/>
    </row>
    <row r="222" spans="1:9" ht="15" thickBot="1" x14ac:dyDescent="0.35">
      <c r="A222" s="34" t="s">
        <v>384</v>
      </c>
      <c r="B222" s="36" t="s">
        <v>385</v>
      </c>
      <c r="C222" s="35"/>
      <c r="D222" s="35"/>
      <c r="E222" s="35"/>
      <c r="F222" s="35"/>
      <c r="G222" s="35"/>
      <c r="H222" s="35"/>
      <c r="I222" s="117">
        <f>SUM(I223:I232)</f>
        <v>184786.83429869189</v>
      </c>
    </row>
    <row r="223" spans="1:9" ht="15" thickBot="1" x14ac:dyDescent="0.35">
      <c r="A223" s="23" t="s">
        <v>386</v>
      </c>
      <c r="B223" s="26" t="s">
        <v>387</v>
      </c>
      <c r="C223" s="24" t="s">
        <v>103</v>
      </c>
      <c r="D223" s="27">
        <v>22.03</v>
      </c>
      <c r="E223" s="93">
        <f>424.18*(1.184419)</f>
        <v>502.40685142000007</v>
      </c>
      <c r="F223" s="93">
        <f>307.31*(1.184419)</f>
        <v>363.98380289000005</v>
      </c>
      <c r="G223" s="93"/>
      <c r="H223" s="104">
        <f t="shared" si="12"/>
        <v>866.39065431000017</v>
      </c>
      <c r="I223" s="105">
        <f t="shared" si="13"/>
        <v>19086.586114449306</v>
      </c>
    </row>
    <row r="224" spans="1:9" ht="28.2" thickBot="1" x14ac:dyDescent="0.35">
      <c r="A224" s="23" t="s">
        <v>388</v>
      </c>
      <c r="B224" s="26" t="s">
        <v>389</v>
      </c>
      <c r="C224" s="24" t="s">
        <v>66</v>
      </c>
      <c r="D224" s="27">
        <v>423.53</v>
      </c>
      <c r="E224" s="93">
        <f>161*(1.184419)</f>
        <v>190.69145900000001</v>
      </c>
      <c r="F224" s="93">
        <f>66.53*(1.184419)</f>
        <v>78.799396070000014</v>
      </c>
      <c r="G224" s="93">
        <f>5.65*(1.184419)</f>
        <v>6.6919673500000014</v>
      </c>
      <c r="H224" s="104">
        <f t="shared" si="12"/>
        <v>276.18282242000004</v>
      </c>
      <c r="I224" s="105">
        <f t="shared" si="13"/>
        <v>116971.71077954261</v>
      </c>
    </row>
    <row r="225" spans="1:9" ht="28.2" thickBot="1" x14ac:dyDescent="0.35">
      <c r="A225" s="23" t="s">
        <v>390</v>
      </c>
      <c r="B225" s="26" t="s">
        <v>391</v>
      </c>
      <c r="C225" s="24" t="s">
        <v>66</v>
      </c>
      <c r="D225" s="27">
        <v>121</v>
      </c>
      <c r="E225" s="93">
        <f>30.32*(1.184419)</f>
        <v>35.911584080000004</v>
      </c>
      <c r="F225" s="93">
        <f>18.49*(1.184419)</f>
        <v>21.89990731</v>
      </c>
      <c r="G225" s="93">
        <f>1.39*(1.184419)</f>
        <v>1.6463424100000001</v>
      </c>
      <c r="H225" s="104">
        <f t="shared" si="12"/>
        <v>59.457833800000003</v>
      </c>
      <c r="I225" s="105">
        <f t="shared" si="13"/>
        <v>7194.3978898000005</v>
      </c>
    </row>
    <row r="226" spans="1:9" ht="42" thickBot="1" x14ac:dyDescent="0.35">
      <c r="A226" s="23" t="s">
        <v>392</v>
      </c>
      <c r="B226" s="26" t="s">
        <v>393</v>
      </c>
      <c r="C226" s="24" t="s">
        <v>66</v>
      </c>
      <c r="D226" s="27">
        <v>17</v>
      </c>
      <c r="E226" s="93">
        <f>147.67*(1.184419)</f>
        <v>174.90315373000001</v>
      </c>
      <c r="F226" s="93">
        <f>22.73*(1.184419)</f>
        <v>26.921843870000004</v>
      </c>
      <c r="G226" s="93">
        <f>1.74*(1.184419)</f>
        <v>2.0608890600000001</v>
      </c>
      <c r="H226" s="104">
        <f t="shared" si="12"/>
        <v>203.88588666000001</v>
      </c>
      <c r="I226" s="105">
        <f t="shared" si="13"/>
        <v>3466.06007322</v>
      </c>
    </row>
    <row r="227" spans="1:9" ht="28.2" thickBot="1" x14ac:dyDescent="0.35">
      <c r="A227" s="23" t="s">
        <v>394</v>
      </c>
      <c r="B227" s="26" t="s">
        <v>395</v>
      </c>
      <c r="C227" s="24" t="s">
        <v>135</v>
      </c>
      <c r="D227" s="27">
        <v>70</v>
      </c>
      <c r="E227" s="93">
        <f>114.68*(1.184419)</f>
        <v>135.82917092000002</v>
      </c>
      <c r="F227" s="93">
        <f>22.93*(1.184419)</f>
        <v>27.158727670000001</v>
      </c>
      <c r="G227" s="93">
        <f>1.95*(1.184419)</f>
        <v>2.3096170499999999</v>
      </c>
      <c r="H227" s="104">
        <f t="shared" si="12"/>
        <v>165.29751564000003</v>
      </c>
      <c r="I227" s="105">
        <f t="shared" si="13"/>
        <v>11570.826094800002</v>
      </c>
    </row>
    <row r="228" spans="1:9" ht="15" thickBot="1" x14ac:dyDescent="0.35">
      <c r="A228" s="23" t="s">
        <v>396</v>
      </c>
      <c r="B228" s="26" t="s">
        <v>397</v>
      </c>
      <c r="C228" s="24" t="s">
        <v>135</v>
      </c>
      <c r="D228" s="27">
        <v>195</v>
      </c>
      <c r="E228" s="93">
        <f>39.34*(1.184419)</f>
        <v>46.595043460000007</v>
      </c>
      <c r="F228" s="93">
        <f>3.89*(1.184419)</f>
        <v>4.6073899100000002</v>
      </c>
      <c r="G228" s="93"/>
      <c r="H228" s="104">
        <f t="shared" si="12"/>
        <v>51.202433370000008</v>
      </c>
      <c r="I228" s="105">
        <f t="shared" si="13"/>
        <v>9984.474507150002</v>
      </c>
    </row>
    <row r="229" spans="1:9" ht="15" thickBot="1" x14ac:dyDescent="0.35">
      <c r="A229" s="23" t="s">
        <v>398</v>
      </c>
      <c r="B229" s="26" t="s">
        <v>399</v>
      </c>
      <c r="C229" s="24" t="s">
        <v>135</v>
      </c>
      <c r="D229" s="27">
        <v>92</v>
      </c>
      <c r="E229" s="93">
        <f>51.9*(1.184419)</f>
        <v>61.471346100000005</v>
      </c>
      <c r="F229" s="93">
        <f>7.61*(1.184419)</f>
        <v>9.013428590000002</v>
      </c>
      <c r="G229" s="93"/>
      <c r="H229" s="104">
        <f t="shared" si="12"/>
        <v>70.484774690000009</v>
      </c>
      <c r="I229" s="105">
        <f t="shared" si="13"/>
        <v>6484.5992714800004</v>
      </c>
    </row>
    <row r="230" spans="1:9" ht="15" thickBot="1" x14ac:dyDescent="0.35">
      <c r="A230" s="23" t="s">
        <v>400</v>
      </c>
      <c r="B230" s="26" t="s">
        <v>401</v>
      </c>
      <c r="C230" s="24" t="s">
        <v>135</v>
      </c>
      <c r="D230" s="27">
        <v>140</v>
      </c>
      <c r="E230" s="93">
        <f>25.97*(1.184419)</f>
        <v>30.759361430000002</v>
      </c>
      <c r="F230" s="93">
        <f>8.13*(1.184419)</f>
        <v>9.6293264700000023</v>
      </c>
      <c r="G230" s="93">
        <f>0.81*(1.184419)</f>
        <v>0.95937939000000017</v>
      </c>
      <c r="H230" s="104">
        <f t="shared" si="12"/>
        <v>41.34806729000001</v>
      </c>
      <c r="I230" s="105">
        <f t="shared" si="13"/>
        <v>5788.7294206000015</v>
      </c>
    </row>
    <row r="231" spans="1:9" ht="15" thickBot="1" x14ac:dyDescent="0.35">
      <c r="A231" s="23" t="s">
        <v>402</v>
      </c>
      <c r="B231" s="26" t="s">
        <v>403</v>
      </c>
      <c r="C231" s="24" t="s">
        <v>135</v>
      </c>
      <c r="D231" s="27">
        <v>34</v>
      </c>
      <c r="E231" s="93">
        <f>67.97*(1.184419)</f>
        <v>80.50495943</v>
      </c>
      <c r="F231" s="93">
        <f>8.13*(1.184419)</f>
        <v>9.6293264700000023</v>
      </c>
      <c r="G231" s="93">
        <f>0.81*(1.184419)</f>
        <v>0.95937939000000017</v>
      </c>
      <c r="H231" s="104">
        <f t="shared" si="12"/>
        <v>91.093665290000004</v>
      </c>
      <c r="I231" s="105">
        <f t="shared" si="13"/>
        <v>3097.1846198600001</v>
      </c>
    </row>
    <row r="232" spans="1:9" ht="42" thickBot="1" x14ac:dyDescent="0.35">
      <c r="A232" s="23" t="s">
        <v>404</v>
      </c>
      <c r="B232" s="26" t="s">
        <v>405</v>
      </c>
      <c r="C232" s="24" t="s">
        <v>135</v>
      </c>
      <c r="D232" s="27">
        <v>25.5</v>
      </c>
      <c r="E232" s="93">
        <f>27.04*(1.184419)</f>
        <v>32.026689760000004</v>
      </c>
      <c r="F232" s="93">
        <f>10.78*(1.184419)</f>
        <v>12.768036820000001</v>
      </c>
      <c r="G232" s="93"/>
      <c r="H232" s="104">
        <f t="shared" si="12"/>
        <v>44.794726580000003</v>
      </c>
      <c r="I232" s="105">
        <f t="shared" si="13"/>
        <v>1142.2655277900001</v>
      </c>
    </row>
    <row r="233" spans="1:9" ht="15" thickBot="1" x14ac:dyDescent="0.35">
      <c r="A233" s="30"/>
      <c r="B233" s="26"/>
      <c r="C233" s="26"/>
      <c r="D233" s="26"/>
      <c r="E233" s="93"/>
      <c r="F233" s="93"/>
      <c r="G233" s="93"/>
      <c r="H233" s="104"/>
      <c r="I233" s="105"/>
    </row>
    <row r="234" spans="1:9" ht="15" thickBot="1" x14ac:dyDescent="0.35">
      <c r="A234" s="34" t="s">
        <v>406</v>
      </c>
      <c r="B234" s="36" t="s">
        <v>407</v>
      </c>
      <c r="C234" s="35"/>
      <c r="D234" s="35"/>
      <c r="E234" s="35"/>
      <c r="F234" s="35"/>
      <c r="G234" s="35"/>
      <c r="H234" s="35"/>
      <c r="I234" s="117">
        <f>SUM(I235)</f>
        <v>23291.466032536799</v>
      </c>
    </row>
    <row r="235" spans="1:9" ht="28.2" thickBot="1" x14ac:dyDescent="0.35">
      <c r="A235" s="23" t="s">
        <v>408</v>
      </c>
      <c r="B235" s="26" t="s">
        <v>409</v>
      </c>
      <c r="C235" s="24" t="s">
        <v>66</v>
      </c>
      <c r="D235" s="27">
        <v>226.92</v>
      </c>
      <c r="E235" s="93">
        <f>68.95*(1.184419)</f>
        <v>81.665690050000009</v>
      </c>
      <c r="F235" s="93">
        <f>15.96*(1.184419)</f>
        <v>18.903327240000003</v>
      </c>
      <c r="G235" s="93">
        <f>1.75*(1.184419)</f>
        <v>2.0727332500000002</v>
      </c>
      <c r="H235" s="104">
        <f t="shared" si="12"/>
        <v>102.64175054</v>
      </c>
      <c r="I235" s="105">
        <f t="shared" si="13"/>
        <v>23291.466032536799</v>
      </c>
    </row>
    <row r="236" spans="1:9" ht="15" thickBot="1" x14ac:dyDescent="0.35">
      <c r="A236" s="30"/>
      <c r="B236" s="26"/>
      <c r="C236" s="26"/>
      <c r="D236" s="26"/>
      <c r="E236" s="93"/>
      <c r="F236" s="93"/>
      <c r="G236" s="93"/>
      <c r="H236" s="104"/>
      <c r="I236" s="105"/>
    </row>
    <row r="237" spans="1:9" ht="15" thickBot="1" x14ac:dyDescent="0.35">
      <c r="A237" s="34" t="s">
        <v>410</v>
      </c>
      <c r="B237" s="36" t="s">
        <v>411</v>
      </c>
      <c r="C237" s="35"/>
      <c r="D237" s="35"/>
      <c r="E237" s="35"/>
      <c r="F237" s="35"/>
      <c r="G237" s="35"/>
      <c r="H237" s="35"/>
      <c r="I237" s="117">
        <f>I238+I239+I240</f>
        <v>176766.3484536625</v>
      </c>
    </row>
    <row r="238" spans="1:9" ht="15" thickBot="1" x14ac:dyDescent="0.35">
      <c r="A238" s="23" t="s">
        <v>412</v>
      </c>
      <c r="B238" s="26" t="s">
        <v>387</v>
      </c>
      <c r="C238" s="24" t="s">
        <v>103</v>
      </c>
      <c r="D238" s="27">
        <v>103.75</v>
      </c>
      <c r="E238" s="93">
        <f>424.18*(1.184419)</f>
        <v>502.40685142000007</v>
      </c>
      <c r="F238" s="93">
        <f>307.31*(1.184419)</f>
        <v>363.98380289000005</v>
      </c>
      <c r="G238" s="93"/>
      <c r="H238" s="104">
        <f t="shared" si="12"/>
        <v>866.39065431000017</v>
      </c>
      <c r="I238" s="105">
        <f t="shared" si="13"/>
        <v>89888.030384662517</v>
      </c>
    </row>
    <row r="239" spans="1:9" ht="42" thickBot="1" x14ac:dyDescent="0.35">
      <c r="A239" s="23" t="s">
        <v>413</v>
      </c>
      <c r="B239" s="26" t="s">
        <v>414</v>
      </c>
      <c r="C239" s="24" t="s">
        <v>66</v>
      </c>
      <c r="D239" s="27">
        <v>351</v>
      </c>
      <c r="E239" s="93">
        <f>135.37*(1.184419)</f>
        <v>160.33480003000003</v>
      </c>
      <c r="F239" s="93">
        <f>23.63*(1.184419)</f>
        <v>27.987820970000001</v>
      </c>
      <c r="G239" s="93"/>
      <c r="H239" s="104">
        <f t="shared" si="12"/>
        <v>188.32262100000003</v>
      </c>
      <c r="I239" s="105">
        <f t="shared" si="13"/>
        <v>66101.239971000003</v>
      </c>
    </row>
    <row r="240" spans="1:9" ht="28.2" thickBot="1" x14ac:dyDescent="0.35">
      <c r="A240" s="23" t="s">
        <v>415</v>
      </c>
      <c r="B240" s="26" t="s">
        <v>416</v>
      </c>
      <c r="C240" s="24" t="s">
        <v>66</v>
      </c>
      <c r="D240" s="27">
        <v>200</v>
      </c>
      <c r="E240" s="93">
        <f>66.16*(1.184419)</f>
        <v>78.361161039999999</v>
      </c>
      <c r="F240" s="93">
        <f>21.55*(1.184419)</f>
        <v>25.524229450000004</v>
      </c>
      <c r="G240" s="93"/>
      <c r="H240" s="104">
        <f t="shared" si="12"/>
        <v>103.88539049000001</v>
      </c>
      <c r="I240" s="105">
        <f t="shared" si="13"/>
        <v>20777.078098000002</v>
      </c>
    </row>
    <row r="241" spans="1:9" ht="15" thickBot="1" x14ac:dyDescent="0.35">
      <c r="A241" s="30"/>
      <c r="B241" s="26"/>
      <c r="C241" s="26"/>
      <c r="D241" s="26"/>
      <c r="E241" s="93"/>
      <c r="F241" s="93"/>
      <c r="G241" s="93"/>
      <c r="H241" s="104"/>
      <c r="I241" s="105"/>
    </row>
    <row r="242" spans="1:9" ht="15" thickBot="1" x14ac:dyDescent="0.35">
      <c r="A242" s="34" t="s">
        <v>417</v>
      </c>
      <c r="B242" s="36" t="s">
        <v>418</v>
      </c>
      <c r="C242" s="35"/>
      <c r="D242" s="35"/>
      <c r="E242" s="35"/>
      <c r="F242" s="35"/>
      <c r="G242" s="35"/>
      <c r="H242" s="35"/>
      <c r="I242" s="117">
        <f>I243+I244+I245</f>
        <v>43127.190294855907</v>
      </c>
    </row>
    <row r="243" spans="1:9" ht="28.2" thickBot="1" x14ac:dyDescent="0.35">
      <c r="A243" s="23" t="s">
        <v>419</v>
      </c>
      <c r="B243" s="26" t="s">
        <v>420</v>
      </c>
      <c r="C243" s="24" t="s">
        <v>66</v>
      </c>
      <c r="D243" s="27">
        <v>20.61</v>
      </c>
      <c r="E243" s="93">
        <f>141.79*(1.184419)</f>
        <v>167.93877001000001</v>
      </c>
      <c r="F243" s="93"/>
      <c r="G243" s="93"/>
      <c r="H243" s="104">
        <f t="shared" si="12"/>
        <v>167.93877001000001</v>
      </c>
      <c r="I243" s="105">
        <f t="shared" si="13"/>
        <v>3461.2180499061001</v>
      </c>
    </row>
    <row r="244" spans="1:9" ht="15" thickBot="1" x14ac:dyDescent="0.35">
      <c r="A244" s="23" t="s">
        <v>421</v>
      </c>
      <c r="B244" s="26" t="s">
        <v>422</v>
      </c>
      <c r="C244" s="24" t="s">
        <v>66</v>
      </c>
      <c r="D244" s="27">
        <v>337.66</v>
      </c>
      <c r="E244" s="93">
        <f>84.54*(1.184419)</f>
        <v>100.13078226000002</v>
      </c>
      <c r="F244" s="93"/>
      <c r="G244" s="93"/>
      <c r="H244" s="104">
        <f t="shared" si="12"/>
        <v>100.13078226000002</v>
      </c>
      <c r="I244" s="105">
        <f t="shared" si="13"/>
        <v>33810.159937911609</v>
      </c>
    </row>
    <row r="245" spans="1:9" ht="28.2" thickBot="1" x14ac:dyDescent="0.35">
      <c r="A245" s="23" t="s">
        <v>423</v>
      </c>
      <c r="B245" s="26" t="s">
        <v>424</v>
      </c>
      <c r="C245" s="24" t="s">
        <v>135</v>
      </c>
      <c r="D245" s="27">
        <v>207.82</v>
      </c>
      <c r="E245" s="93">
        <f>23.79*(1.184419)</f>
        <v>28.17732801</v>
      </c>
      <c r="F245" s="93"/>
      <c r="G245" s="93"/>
      <c r="H245" s="104">
        <f t="shared" si="12"/>
        <v>28.17732801</v>
      </c>
      <c r="I245" s="105">
        <f t="shared" si="13"/>
        <v>5855.8123070381998</v>
      </c>
    </row>
    <row r="246" spans="1:9" ht="15" thickBot="1" x14ac:dyDescent="0.35">
      <c r="A246" s="30"/>
      <c r="B246" s="26"/>
      <c r="C246" s="26"/>
      <c r="D246" s="26"/>
      <c r="E246" s="93"/>
      <c r="F246" s="93"/>
      <c r="G246" s="93"/>
      <c r="H246" s="104"/>
      <c r="I246" s="105"/>
    </row>
    <row r="247" spans="1:9" ht="15" thickBot="1" x14ac:dyDescent="0.35">
      <c r="A247" s="34" t="s">
        <v>425</v>
      </c>
      <c r="B247" s="36" t="s">
        <v>426</v>
      </c>
      <c r="C247" s="35"/>
      <c r="D247" s="35"/>
      <c r="E247" s="35"/>
      <c r="F247" s="35"/>
      <c r="G247" s="35"/>
      <c r="H247" s="35"/>
      <c r="I247" s="117">
        <f>I248+I251</f>
        <v>1542051.7673512187</v>
      </c>
    </row>
    <row r="248" spans="1:9" ht="15" thickBot="1" x14ac:dyDescent="0.35">
      <c r="A248" s="40" t="s">
        <v>427</v>
      </c>
      <c r="B248" s="41" t="s">
        <v>428</v>
      </c>
      <c r="C248" s="26"/>
      <c r="D248" s="26"/>
      <c r="E248" s="93"/>
      <c r="F248" s="93"/>
      <c r="G248" s="93"/>
      <c r="H248" s="104"/>
      <c r="I248" s="119">
        <f>I249+I250</f>
        <v>569256.04322479945</v>
      </c>
    </row>
    <row r="249" spans="1:9" ht="72" thickBot="1" x14ac:dyDescent="0.35">
      <c r="A249" s="23" t="s">
        <v>429</v>
      </c>
      <c r="B249" s="120" t="s">
        <v>430</v>
      </c>
      <c r="C249" s="24" t="s">
        <v>340</v>
      </c>
      <c r="D249" s="27">
        <v>285.37</v>
      </c>
      <c r="E249" s="93">
        <f>1159.98*(1.184419)</f>
        <v>1373.9023516200002</v>
      </c>
      <c r="F249" s="93"/>
      <c r="G249" s="93"/>
      <c r="H249" s="104">
        <f t="shared" si="12"/>
        <v>1373.9023516200002</v>
      </c>
      <c r="I249" s="105">
        <f t="shared" si="13"/>
        <v>392070.51408179948</v>
      </c>
    </row>
    <row r="250" spans="1:9" ht="28.2" thickBot="1" x14ac:dyDescent="0.35">
      <c r="A250" s="23" t="s">
        <v>431</v>
      </c>
      <c r="B250" s="26" t="s">
        <v>432</v>
      </c>
      <c r="C250" s="24" t="s">
        <v>340</v>
      </c>
      <c r="D250" s="28">
        <v>2150</v>
      </c>
      <c r="E250" s="93">
        <f>69.58*(1.184419)</f>
        <v>82.411874019999999</v>
      </c>
      <c r="F250" s="93"/>
      <c r="G250" s="93"/>
      <c r="H250" s="104">
        <f t="shared" si="12"/>
        <v>82.411874019999999</v>
      </c>
      <c r="I250" s="105">
        <f t="shared" si="13"/>
        <v>177185.52914299999</v>
      </c>
    </row>
    <row r="251" spans="1:9" ht="15" thickBot="1" x14ac:dyDescent="0.35">
      <c r="A251" s="43" t="s">
        <v>433</v>
      </c>
      <c r="B251" s="42" t="s">
        <v>434</v>
      </c>
      <c r="C251" s="31"/>
      <c r="D251" s="31"/>
      <c r="E251" s="93"/>
      <c r="F251" s="93"/>
      <c r="G251" s="93"/>
      <c r="H251" s="104"/>
      <c r="I251" s="119">
        <f>SUM(I252:I265)</f>
        <v>972795.72412641929</v>
      </c>
    </row>
    <row r="252" spans="1:9" ht="15" thickBot="1" x14ac:dyDescent="0.35">
      <c r="A252" s="23" t="s">
        <v>435</v>
      </c>
      <c r="B252" s="26" t="s">
        <v>436</v>
      </c>
      <c r="C252" s="24" t="s">
        <v>66</v>
      </c>
      <c r="D252" s="28">
        <v>1064.7</v>
      </c>
      <c r="E252" s="93">
        <f>353.55*(1.184419)</f>
        <v>418.75133745000005</v>
      </c>
      <c r="F252" s="93"/>
      <c r="G252" s="93"/>
      <c r="H252" s="104">
        <f t="shared" si="12"/>
        <v>418.75133745000005</v>
      </c>
      <c r="I252" s="105">
        <f t="shared" si="13"/>
        <v>445844.54898301506</v>
      </c>
    </row>
    <row r="253" spans="1:9" ht="15" thickBot="1" x14ac:dyDescent="0.35">
      <c r="A253" s="23" t="s">
        <v>437</v>
      </c>
      <c r="B253" s="26" t="s">
        <v>438</v>
      </c>
      <c r="C253" s="24" t="s">
        <v>66</v>
      </c>
      <c r="D253" s="27">
        <v>94.5</v>
      </c>
      <c r="E253" s="93">
        <f>388.85*(1.184419)</f>
        <v>460.56132815000007</v>
      </c>
      <c r="F253" s="93"/>
      <c r="G253" s="93"/>
      <c r="H253" s="104">
        <f t="shared" si="12"/>
        <v>460.56132815000007</v>
      </c>
      <c r="I253" s="105">
        <f t="shared" si="13"/>
        <v>43523.045510175005</v>
      </c>
    </row>
    <row r="254" spans="1:9" ht="15" thickBot="1" x14ac:dyDescent="0.35">
      <c r="A254" s="23" t="s">
        <v>439</v>
      </c>
      <c r="B254" s="26" t="s">
        <v>440</v>
      </c>
      <c r="C254" s="24" t="s">
        <v>135</v>
      </c>
      <c r="D254" s="27">
        <v>36.799999999999997</v>
      </c>
      <c r="E254" s="93">
        <f>123.49*(1.184419)</f>
        <v>146.26390231000002</v>
      </c>
      <c r="F254" s="93"/>
      <c r="G254" s="93"/>
      <c r="H254" s="104">
        <f t="shared" si="12"/>
        <v>146.26390231000002</v>
      </c>
      <c r="I254" s="105">
        <f t="shared" si="13"/>
        <v>5382.5116050080005</v>
      </c>
    </row>
    <row r="255" spans="1:9" ht="15" thickBot="1" x14ac:dyDescent="0.35">
      <c r="A255" s="23" t="s">
        <v>441</v>
      </c>
      <c r="B255" s="26" t="s">
        <v>442</v>
      </c>
      <c r="C255" s="24" t="s">
        <v>135</v>
      </c>
      <c r="D255" s="27">
        <v>83.85</v>
      </c>
      <c r="E255" s="93">
        <f>265.59*(1.184419)</f>
        <v>314.56984220999999</v>
      </c>
      <c r="F255" s="93"/>
      <c r="G255" s="93"/>
      <c r="H255" s="104">
        <f t="shared" si="12"/>
        <v>314.56984220999999</v>
      </c>
      <c r="I255" s="105">
        <f t="shared" si="13"/>
        <v>26376.681269308498</v>
      </c>
    </row>
    <row r="256" spans="1:9" ht="15" thickBot="1" x14ac:dyDescent="0.35">
      <c r="A256" s="23" t="s">
        <v>443</v>
      </c>
      <c r="B256" s="26" t="s">
        <v>444</v>
      </c>
      <c r="C256" s="24" t="s">
        <v>135</v>
      </c>
      <c r="D256" s="27">
        <v>4.5</v>
      </c>
      <c r="E256" s="93">
        <f>265.59*(1.184419)</f>
        <v>314.56984220999999</v>
      </c>
      <c r="F256" s="93"/>
      <c r="G256" s="93"/>
      <c r="H256" s="104">
        <f t="shared" si="12"/>
        <v>314.56984220999999</v>
      </c>
      <c r="I256" s="105">
        <f t="shared" si="13"/>
        <v>1415.5642899449999</v>
      </c>
    </row>
    <row r="257" spans="1:9" ht="15" thickBot="1" x14ac:dyDescent="0.35">
      <c r="A257" s="23" t="s">
        <v>445</v>
      </c>
      <c r="B257" s="26" t="s">
        <v>446</v>
      </c>
      <c r="C257" s="24" t="s">
        <v>135</v>
      </c>
      <c r="D257" s="27">
        <v>19.2</v>
      </c>
      <c r="E257" s="93">
        <f>205.81*(1.184419)</f>
        <v>243.76527439000003</v>
      </c>
      <c r="F257" s="93"/>
      <c r="G257" s="93"/>
      <c r="H257" s="104">
        <f t="shared" si="12"/>
        <v>243.76527439000003</v>
      </c>
      <c r="I257" s="105">
        <f t="shared" si="13"/>
        <v>4680.293268288</v>
      </c>
    </row>
    <row r="258" spans="1:9" ht="15" thickBot="1" x14ac:dyDescent="0.35">
      <c r="A258" s="23" t="s">
        <v>447</v>
      </c>
      <c r="B258" s="26" t="s">
        <v>448</v>
      </c>
      <c r="C258" s="24" t="s">
        <v>135</v>
      </c>
      <c r="D258" s="27">
        <v>14.4</v>
      </c>
      <c r="E258" s="93">
        <f>1070.2*(1.184419)</f>
        <v>1267.5652138000003</v>
      </c>
      <c r="F258" s="93"/>
      <c r="G258" s="93"/>
      <c r="H258" s="104">
        <f t="shared" si="12"/>
        <v>1267.5652138000003</v>
      </c>
      <c r="I258" s="105">
        <f t="shared" si="13"/>
        <v>18252.939078720003</v>
      </c>
    </row>
    <row r="259" spans="1:9" ht="15" thickBot="1" x14ac:dyDescent="0.35">
      <c r="A259" s="23" t="s">
        <v>449</v>
      </c>
      <c r="B259" s="26" t="s">
        <v>450</v>
      </c>
      <c r="C259" s="24" t="s">
        <v>135</v>
      </c>
      <c r="D259" s="27">
        <v>73.599999999999994</v>
      </c>
      <c r="E259" s="93">
        <f>747.88*(1.184419)</f>
        <v>885.80328172000009</v>
      </c>
      <c r="F259" s="93"/>
      <c r="G259" s="93"/>
      <c r="H259" s="104">
        <f t="shared" si="12"/>
        <v>885.80328172000009</v>
      </c>
      <c r="I259" s="105">
        <f t="shared" si="13"/>
        <v>65195.121534591999</v>
      </c>
    </row>
    <row r="260" spans="1:9" ht="15" thickBot="1" x14ac:dyDescent="0.35">
      <c r="A260" s="23" t="s">
        <v>451</v>
      </c>
      <c r="B260" s="26" t="s">
        <v>452</v>
      </c>
      <c r="C260" s="24" t="s">
        <v>135</v>
      </c>
      <c r="D260" s="27">
        <v>61.2</v>
      </c>
      <c r="E260" s="93">
        <f>522.17*(1.184419)</f>
        <v>618.46806922999997</v>
      </c>
      <c r="F260" s="93"/>
      <c r="G260" s="93"/>
      <c r="H260" s="104">
        <f t="shared" si="12"/>
        <v>618.46806922999997</v>
      </c>
      <c r="I260" s="105">
        <f t="shared" si="13"/>
        <v>37850.245836875998</v>
      </c>
    </row>
    <row r="261" spans="1:9" ht="15" thickBot="1" x14ac:dyDescent="0.35">
      <c r="A261" s="23" t="s">
        <v>453</v>
      </c>
      <c r="B261" s="26" t="s">
        <v>454</v>
      </c>
      <c r="C261" s="24" t="s">
        <v>66</v>
      </c>
      <c r="D261" s="28">
        <v>2147.06</v>
      </c>
      <c r="E261" s="93">
        <f>119.37*(1.184419)</f>
        <v>141.38409603000002</v>
      </c>
      <c r="F261" s="93"/>
      <c r="G261" s="93"/>
      <c r="H261" s="104">
        <f t="shared" si="12"/>
        <v>141.38409603000002</v>
      </c>
      <c r="I261" s="105">
        <f t="shared" si="13"/>
        <v>303560.13722217182</v>
      </c>
    </row>
    <row r="262" spans="1:9" ht="15" thickBot="1" x14ac:dyDescent="0.35">
      <c r="A262" s="23" t="s">
        <v>455</v>
      </c>
      <c r="B262" s="26" t="s">
        <v>456</v>
      </c>
      <c r="C262" s="24" t="s">
        <v>135</v>
      </c>
      <c r="D262" s="27">
        <v>41.6</v>
      </c>
      <c r="E262" s="93">
        <f>140.11*(1.184419)</f>
        <v>165.94894609000002</v>
      </c>
      <c r="F262" s="93"/>
      <c r="G262" s="93"/>
      <c r="H262" s="104">
        <f t="shared" si="12"/>
        <v>165.94894609000002</v>
      </c>
      <c r="I262" s="105">
        <f t="shared" si="13"/>
        <v>6903.476157344001</v>
      </c>
    </row>
    <row r="263" spans="1:9" ht="15" thickBot="1" x14ac:dyDescent="0.35">
      <c r="A263" s="23" t="s">
        <v>457</v>
      </c>
      <c r="B263" s="26" t="s">
        <v>458</v>
      </c>
      <c r="C263" s="24" t="s">
        <v>135</v>
      </c>
      <c r="D263" s="27">
        <v>41.6</v>
      </c>
      <c r="E263" s="93">
        <f>45.69*(1.184419)</f>
        <v>54.116104110000002</v>
      </c>
      <c r="F263" s="93"/>
      <c r="G263" s="93"/>
      <c r="H263" s="104">
        <f t="shared" si="12"/>
        <v>54.116104110000002</v>
      </c>
      <c r="I263" s="105">
        <f t="shared" si="13"/>
        <v>2251.2299309760001</v>
      </c>
    </row>
    <row r="264" spans="1:9" ht="15" thickBot="1" x14ac:dyDescent="0.35">
      <c r="A264" s="23" t="s">
        <v>459</v>
      </c>
      <c r="B264" s="26" t="s">
        <v>460</v>
      </c>
      <c r="C264" s="24" t="s">
        <v>49</v>
      </c>
      <c r="D264" s="27">
        <v>2</v>
      </c>
      <c r="E264" s="93">
        <f>2000*(1.184419)</f>
        <v>2368.8380000000002</v>
      </c>
      <c r="F264" s="93"/>
      <c r="G264" s="93"/>
      <c r="H264" s="104">
        <f t="shared" ref="H264:H327" si="14">E264+F264+G264</f>
        <v>2368.8380000000002</v>
      </c>
      <c r="I264" s="105">
        <f t="shared" ref="I264:I327" si="15">H264*D264</f>
        <v>4737.6760000000004</v>
      </c>
    </row>
    <row r="265" spans="1:9" ht="15" thickBot="1" x14ac:dyDescent="0.35">
      <c r="A265" s="23" t="s">
        <v>461</v>
      </c>
      <c r="B265" s="26" t="s">
        <v>462</v>
      </c>
      <c r="C265" s="24" t="s">
        <v>135</v>
      </c>
      <c r="D265" s="27">
        <v>19.2</v>
      </c>
      <c r="E265" s="93">
        <f>300*(1.184419)</f>
        <v>355.32570000000004</v>
      </c>
      <c r="F265" s="93"/>
      <c r="G265" s="93"/>
      <c r="H265" s="104">
        <f t="shared" si="14"/>
        <v>355.32570000000004</v>
      </c>
      <c r="I265" s="105">
        <f t="shared" si="15"/>
        <v>6822.2534400000004</v>
      </c>
    </row>
    <row r="266" spans="1:9" ht="15" thickBot="1" x14ac:dyDescent="0.35">
      <c r="A266" s="30"/>
      <c r="B266" s="26"/>
      <c r="C266" s="26"/>
      <c r="D266" s="26"/>
      <c r="E266" s="93"/>
      <c r="F266" s="93"/>
      <c r="G266" s="93"/>
      <c r="H266" s="104"/>
      <c r="I266" s="105"/>
    </row>
    <row r="267" spans="1:9" ht="15" thickBot="1" x14ac:dyDescent="0.35">
      <c r="A267" s="34" t="s">
        <v>463</v>
      </c>
      <c r="B267" s="36" t="s">
        <v>464</v>
      </c>
      <c r="C267" s="35"/>
      <c r="D267" s="35"/>
      <c r="E267" s="35"/>
      <c r="F267" s="35"/>
      <c r="G267" s="35"/>
      <c r="H267" s="35"/>
      <c r="I267" s="117">
        <f>SUM(I268:I272)</f>
        <v>9400.1769260700003</v>
      </c>
    </row>
    <row r="268" spans="1:9" ht="42" thickBot="1" x14ac:dyDescent="0.35">
      <c r="A268" s="23" t="s">
        <v>465</v>
      </c>
      <c r="B268" s="26" t="s">
        <v>466</v>
      </c>
      <c r="C268" s="24" t="s">
        <v>49</v>
      </c>
      <c r="D268" s="27">
        <v>3</v>
      </c>
      <c r="E268" s="93">
        <f>568.13*(1.184419)</f>
        <v>672.90396647000011</v>
      </c>
      <c r="F268" s="93">
        <f>30.53*(1.184419)</f>
        <v>36.160312070000003</v>
      </c>
      <c r="G268" s="93">
        <f>2*(1.184419)</f>
        <v>2.3688380000000002</v>
      </c>
      <c r="H268" s="104">
        <f t="shared" si="14"/>
        <v>711.43311654000013</v>
      </c>
      <c r="I268" s="105">
        <f t="shared" si="15"/>
        <v>2134.2993496200006</v>
      </c>
    </row>
    <row r="269" spans="1:9" ht="15" thickBot="1" x14ac:dyDescent="0.35">
      <c r="A269" s="23" t="s">
        <v>467</v>
      </c>
      <c r="B269" s="26" t="s">
        <v>468</v>
      </c>
      <c r="C269" s="24" t="s">
        <v>49</v>
      </c>
      <c r="D269" s="27">
        <v>1</v>
      </c>
      <c r="E269" s="93">
        <f>851.74*(1.184419)</f>
        <v>1008.8170390600001</v>
      </c>
      <c r="F269" s="93">
        <f>5.43*(1.184419)</f>
        <v>6.43139517</v>
      </c>
      <c r="G269" s="93">
        <f>0.38*(1.184419)</f>
        <v>0.45007922000000006</v>
      </c>
      <c r="H269" s="104">
        <f t="shared" si="14"/>
        <v>1015.6985134500001</v>
      </c>
      <c r="I269" s="105">
        <f t="shared" si="15"/>
        <v>1015.6985134500001</v>
      </c>
    </row>
    <row r="270" spans="1:9" ht="15" thickBot="1" x14ac:dyDescent="0.35">
      <c r="A270" s="23" t="s">
        <v>469</v>
      </c>
      <c r="B270" s="26" t="s">
        <v>470</v>
      </c>
      <c r="C270" s="24" t="s">
        <v>49</v>
      </c>
      <c r="D270" s="27">
        <v>1</v>
      </c>
      <c r="E270" s="93">
        <f>257.37*(1.184419)</f>
        <v>304.83391803000001</v>
      </c>
      <c r="F270" s="93">
        <f>97.91*(1.184419)</f>
        <v>115.96646429</v>
      </c>
      <c r="G270" s="93">
        <f>5.9*(1.184419)</f>
        <v>6.988072100000001</v>
      </c>
      <c r="H270" s="104">
        <f t="shared" si="14"/>
        <v>427.78845442000005</v>
      </c>
      <c r="I270" s="105">
        <f t="shared" si="15"/>
        <v>427.78845442000005</v>
      </c>
    </row>
    <row r="271" spans="1:9" ht="46.2" customHeight="1" thickBot="1" x14ac:dyDescent="0.35">
      <c r="A271" s="23" t="s">
        <v>471</v>
      </c>
      <c r="B271" s="26" t="s">
        <v>472</v>
      </c>
      <c r="C271" s="24" t="s">
        <v>49</v>
      </c>
      <c r="D271" s="27">
        <v>3</v>
      </c>
      <c r="E271" s="93">
        <f>1215.1*(1.184419)</f>
        <v>1439.1875269</v>
      </c>
      <c r="F271" s="93">
        <f>60.58*(1.184419)</f>
        <v>71.752103020000007</v>
      </c>
      <c r="G271" s="93">
        <f>0.17*(1.184419)</f>
        <v>0.20135123000000002</v>
      </c>
      <c r="H271" s="104">
        <f t="shared" si="14"/>
        <v>1511.14098115</v>
      </c>
      <c r="I271" s="105">
        <f t="shared" si="15"/>
        <v>4533.4229434500003</v>
      </c>
    </row>
    <row r="272" spans="1:9" ht="16.2" customHeight="1" thickBot="1" x14ac:dyDescent="0.35">
      <c r="A272" s="23" t="s">
        <v>473</v>
      </c>
      <c r="B272" s="26" t="s">
        <v>474</v>
      </c>
      <c r="C272" s="24" t="s">
        <v>49</v>
      </c>
      <c r="D272" s="27">
        <v>1</v>
      </c>
      <c r="E272" s="93">
        <f>1008.34*(1.184419)</f>
        <v>1194.2970544600003</v>
      </c>
      <c r="F272" s="93">
        <f>75.39*(1.184419)</f>
        <v>89.293348410000007</v>
      </c>
      <c r="G272" s="93">
        <f>4.54*(1.184419)</f>
        <v>5.3772622600000002</v>
      </c>
      <c r="H272" s="104">
        <f t="shared" si="14"/>
        <v>1288.9676651300001</v>
      </c>
      <c r="I272" s="105">
        <f t="shared" si="15"/>
        <v>1288.9676651300001</v>
      </c>
    </row>
    <row r="273" spans="1:9" ht="15" thickBot="1" x14ac:dyDescent="0.35">
      <c r="A273" s="30"/>
      <c r="B273" s="26"/>
      <c r="C273" s="26"/>
      <c r="D273" s="26"/>
      <c r="E273" s="93"/>
      <c r="F273" s="93"/>
      <c r="G273" s="93"/>
      <c r="H273" s="104"/>
      <c r="I273" s="105"/>
    </row>
    <row r="274" spans="1:9" ht="15" thickBot="1" x14ac:dyDescent="0.35">
      <c r="A274" s="34" t="s">
        <v>475</v>
      </c>
      <c r="B274" s="36" t="s">
        <v>476</v>
      </c>
      <c r="C274" s="35"/>
      <c r="D274" s="35"/>
      <c r="E274" s="35"/>
      <c r="F274" s="35"/>
      <c r="G274" s="35"/>
      <c r="H274" s="35"/>
      <c r="I274" s="117">
        <f>SUM(I275:I277)</f>
        <v>4028.647254030001</v>
      </c>
    </row>
    <row r="275" spans="1:9" ht="42" thickBot="1" x14ac:dyDescent="0.35">
      <c r="A275" s="23" t="s">
        <v>477</v>
      </c>
      <c r="B275" s="26" t="s">
        <v>478</v>
      </c>
      <c r="C275" s="24" t="s">
        <v>49</v>
      </c>
      <c r="D275" s="27">
        <v>2</v>
      </c>
      <c r="E275" s="93">
        <f>569.7*(1.184419)</f>
        <v>674.76350430000014</v>
      </c>
      <c r="F275" s="93">
        <f>52.52*(1.184419)</f>
        <v>62.205685880000011</v>
      </c>
      <c r="G275" s="93">
        <f>5.2*(1.184419)</f>
        <v>6.1589788000000008</v>
      </c>
      <c r="H275" s="104">
        <f t="shared" si="14"/>
        <v>743.12816898000017</v>
      </c>
      <c r="I275" s="105">
        <f t="shared" si="15"/>
        <v>1486.2563379600003</v>
      </c>
    </row>
    <row r="276" spans="1:9" ht="42" thickBot="1" x14ac:dyDescent="0.35">
      <c r="A276" s="23" t="s">
        <v>479</v>
      </c>
      <c r="B276" s="26" t="s">
        <v>480</v>
      </c>
      <c r="C276" s="24" t="s">
        <v>49</v>
      </c>
      <c r="D276" s="27">
        <v>1</v>
      </c>
      <c r="E276" s="93">
        <f>582.53*(1.184419)</f>
        <v>689.95960007000008</v>
      </c>
      <c r="F276" s="93">
        <f>52.52*(1.184419)</f>
        <v>62.205685880000011</v>
      </c>
      <c r="G276" s="93">
        <f>5.2*(1.184419)</f>
        <v>6.1589788000000008</v>
      </c>
      <c r="H276" s="104">
        <f t="shared" si="14"/>
        <v>758.32426475000011</v>
      </c>
      <c r="I276" s="105">
        <f t="shared" si="15"/>
        <v>758.32426475000011</v>
      </c>
    </row>
    <row r="277" spans="1:9" ht="42" thickBot="1" x14ac:dyDescent="0.35">
      <c r="A277" s="23" t="s">
        <v>481</v>
      </c>
      <c r="B277" s="26" t="s">
        <v>482</v>
      </c>
      <c r="C277" s="24" t="s">
        <v>49</v>
      </c>
      <c r="D277" s="27">
        <v>1</v>
      </c>
      <c r="E277" s="93">
        <f>1448.56*(1.184419)</f>
        <v>1715.7019866400001</v>
      </c>
      <c r="F277" s="93">
        <f>52.52*(1.184419)</f>
        <v>62.205685880000011</v>
      </c>
      <c r="G277" s="93">
        <f>5.2*(1.184419)</f>
        <v>6.1589788000000008</v>
      </c>
      <c r="H277" s="104">
        <f t="shared" si="14"/>
        <v>1784.0666513200001</v>
      </c>
      <c r="I277" s="105">
        <f t="shared" si="15"/>
        <v>1784.0666513200001</v>
      </c>
    </row>
    <row r="278" spans="1:9" ht="15" thickBot="1" x14ac:dyDescent="0.35">
      <c r="A278" s="30"/>
      <c r="B278" s="26"/>
      <c r="C278" s="26"/>
      <c r="D278" s="26"/>
      <c r="E278" s="93"/>
      <c r="F278" s="93"/>
      <c r="G278" s="93"/>
      <c r="H278" s="104"/>
      <c r="I278" s="105"/>
    </row>
    <row r="279" spans="1:9" ht="15" thickBot="1" x14ac:dyDescent="0.35">
      <c r="A279" s="34" t="s">
        <v>483</v>
      </c>
      <c r="B279" s="36" t="s">
        <v>484</v>
      </c>
      <c r="C279" s="35"/>
      <c r="D279" s="35"/>
      <c r="E279" s="35"/>
      <c r="F279" s="35"/>
      <c r="G279" s="35"/>
      <c r="H279" s="35"/>
      <c r="I279" s="117">
        <f>SUM(I280:I301)</f>
        <v>23491.055794600004</v>
      </c>
    </row>
    <row r="280" spans="1:9" ht="15" thickBot="1" x14ac:dyDescent="0.35">
      <c r="A280" s="23" t="s">
        <v>485</v>
      </c>
      <c r="B280" s="26" t="s">
        <v>486</v>
      </c>
      <c r="C280" s="24" t="s">
        <v>49</v>
      </c>
      <c r="D280" s="27">
        <v>10</v>
      </c>
      <c r="E280" s="93">
        <f>64.06*(1.184419)</f>
        <v>75.873881140000009</v>
      </c>
      <c r="F280" s="93">
        <f>5.92*(1.184419)</f>
        <v>7.0117604800000004</v>
      </c>
      <c r="G280" s="93"/>
      <c r="H280" s="104">
        <f t="shared" si="14"/>
        <v>82.885641620000015</v>
      </c>
      <c r="I280" s="105">
        <f t="shared" si="15"/>
        <v>828.85641620000013</v>
      </c>
    </row>
    <row r="281" spans="1:9" ht="28.2" thickBot="1" x14ac:dyDescent="0.35">
      <c r="A281" s="23" t="s">
        <v>487</v>
      </c>
      <c r="B281" s="26" t="s">
        <v>488</v>
      </c>
      <c r="C281" s="24" t="s">
        <v>49</v>
      </c>
      <c r="D281" s="27">
        <v>4</v>
      </c>
      <c r="E281" s="93">
        <f>135*(1.184419)</f>
        <v>159.89656500000001</v>
      </c>
      <c r="F281" s="93">
        <f>5.92*(1.184419)</f>
        <v>7.0117604800000004</v>
      </c>
      <c r="G281" s="93"/>
      <c r="H281" s="104">
        <f t="shared" si="14"/>
        <v>166.90832548</v>
      </c>
      <c r="I281" s="105">
        <f t="shared" si="15"/>
        <v>667.63330192000001</v>
      </c>
    </row>
    <row r="282" spans="1:9" ht="28.2" thickBot="1" x14ac:dyDescent="0.35">
      <c r="A282" s="23" t="s">
        <v>489</v>
      </c>
      <c r="B282" s="26" t="s">
        <v>490</v>
      </c>
      <c r="C282" s="24" t="s">
        <v>49</v>
      </c>
      <c r="D282" s="27">
        <v>4</v>
      </c>
      <c r="E282" s="93">
        <f>119.98*(1.184419)</f>
        <v>142.10659162000002</v>
      </c>
      <c r="F282" s="93">
        <f>5.92*(1.184419)</f>
        <v>7.0117604800000004</v>
      </c>
      <c r="G282" s="93"/>
      <c r="H282" s="104">
        <f t="shared" si="14"/>
        <v>149.11835210000001</v>
      </c>
      <c r="I282" s="105">
        <f t="shared" si="15"/>
        <v>596.47340840000004</v>
      </c>
    </row>
    <row r="283" spans="1:9" ht="28.2" thickBot="1" x14ac:dyDescent="0.35">
      <c r="A283" s="23" t="s">
        <v>491</v>
      </c>
      <c r="B283" s="26" t="s">
        <v>492</v>
      </c>
      <c r="C283" s="24" t="s">
        <v>49</v>
      </c>
      <c r="D283" s="27">
        <v>3</v>
      </c>
      <c r="E283" s="93">
        <f>120*(1.184419)</f>
        <v>142.13028000000003</v>
      </c>
      <c r="F283" s="93">
        <f>5.92*(1.184419)</f>
        <v>7.0117604800000004</v>
      </c>
      <c r="G283" s="93"/>
      <c r="H283" s="104">
        <f t="shared" si="14"/>
        <v>149.14204048000002</v>
      </c>
      <c r="I283" s="105">
        <f t="shared" si="15"/>
        <v>447.42612144000009</v>
      </c>
    </row>
    <row r="284" spans="1:9" ht="28.2" thickBot="1" x14ac:dyDescent="0.35">
      <c r="A284" s="23" t="s">
        <v>493</v>
      </c>
      <c r="B284" s="26" t="s">
        <v>494</v>
      </c>
      <c r="C284" s="24" t="s">
        <v>49</v>
      </c>
      <c r="D284" s="27">
        <v>9</v>
      </c>
      <c r="E284" s="93">
        <f>211.81*(1.184419)</f>
        <v>250.87178839000003</v>
      </c>
      <c r="F284" s="93">
        <f>11.72*(1.184419)</f>
        <v>13.881390680000003</v>
      </c>
      <c r="G284" s="93">
        <f>0.02*(1.184419)</f>
        <v>2.3688380000000002E-2</v>
      </c>
      <c r="H284" s="104">
        <f t="shared" si="14"/>
        <v>264.77686745000005</v>
      </c>
      <c r="I284" s="105">
        <f t="shared" si="15"/>
        <v>2382.9918070500007</v>
      </c>
    </row>
    <row r="285" spans="1:9" ht="28.2" thickBot="1" x14ac:dyDescent="0.35">
      <c r="A285" s="23" t="s">
        <v>495</v>
      </c>
      <c r="B285" s="26" t="s">
        <v>496</v>
      </c>
      <c r="C285" s="24" t="s">
        <v>49</v>
      </c>
      <c r="D285" s="27">
        <v>9</v>
      </c>
      <c r="E285" s="93">
        <f>93.59*(1.184419)</f>
        <v>110.84977421000002</v>
      </c>
      <c r="F285" s="93">
        <f>5.92*(1.184419)</f>
        <v>7.0117604800000004</v>
      </c>
      <c r="G285" s="93"/>
      <c r="H285" s="104">
        <f t="shared" si="14"/>
        <v>117.86153469000003</v>
      </c>
      <c r="I285" s="105">
        <f t="shared" si="15"/>
        <v>1060.7538122100002</v>
      </c>
    </row>
    <row r="286" spans="1:9" ht="15" thickBot="1" x14ac:dyDescent="0.35">
      <c r="A286" s="23" t="s">
        <v>497</v>
      </c>
      <c r="B286" s="26" t="s">
        <v>498</v>
      </c>
      <c r="C286" s="24" t="s">
        <v>49</v>
      </c>
      <c r="D286" s="27">
        <v>4</v>
      </c>
      <c r="E286" s="93">
        <f>916.73*(1.184419)</f>
        <v>1085.7924298700002</v>
      </c>
      <c r="F286" s="93">
        <f>15.41*(1.184419)</f>
        <v>18.251896790000004</v>
      </c>
      <c r="G286" s="93">
        <f>0.91*(1.184419)</f>
        <v>1.0778212900000002</v>
      </c>
      <c r="H286" s="104">
        <f t="shared" si="14"/>
        <v>1105.1221479500002</v>
      </c>
      <c r="I286" s="105">
        <f t="shared" si="15"/>
        <v>4420.4885918000009</v>
      </c>
    </row>
    <row r="287" spans="1:9" ht="15" thickBot="1" x14ac:dyDescent="0.35">
      <c r="A287" s="23" t="s">
        <v>499</v>
      </c>
      <c r="B287" s="26" t="s">
        <v>500</v>
      </c>
      <c r="C287" s="24" t="s">
        <v>49</v>
      </c>
      <c r="D287" s="27">
        <v>4</v>
      </c>
      <c r="E287" s="93">
        <f>497.88*(1.184419)</f>
        <v>589.69853172000001</v>
      </c>
      <c r="F287" s="93">
        <f>23.9*(1.184419)</f>
        <v>28.307614100000002</v>
      </c>
      <c r="G287" s="93"/>
      <c r="H287" s="104">
        <f t="shared" si="14"/>
        <v>618.00614582000003</v>
      </c>
      <c r="I287" s="105">
        <f t="shared" si="15"/>
        <v>2472.0245832800001</v>
      </c>
    </row>
    <row r="288" spans="1:9" ht="28.2" thickBot="1" x14ac:dyDescent="0.35">
      <c r="A288" s="23" t="s">
        <v>501</v>
      </c>
      <c r="B288" s="26" t="s">
        <v>502</v>
      </c>
      <c r="C288" s="24" t="s">
        <v>49</v>
      </c>
      <c r="D288" s="27">
        <v>2</v>
      </c>
      <c r="E288" s="93">
        <f>310.64*(1.184419)</f>
        <v>367.92791815999999</v>
      </c>
      <c r="F288" s="93">
        <f>27.7*(1.184419)</f>
        <v>32.808406300000001</v>
      </c>
      <c r="G288" s="93">
        <f>1.71*(1.184419)</f>
        <v>2.0253564900000001</v>
      </c>
      <c r="H288" s="104">
        <f t="shared" si="14"/>
        <v>402.76168094999997</v>
      </c>
      <c r="I288" s="105">
        <f t="shared" si="15"/>
        <v>805.52336189999994</v>
      </c>
    </row>
    <row r="289" spans="1:9" ht="42" thickBot="1" x14ac:dyDescent="0.35">
      <c r="A289" s="23" t="s">
        <v>503</v>
      </c>
      <c r="B289" s="26" t="s">
        <v>504</v>
      </c>
      <c r="C289" s="24" t="s">
        <v>49</v>
      </c>
      <c r="D289" s="27">
        <v>1</v>
      </c>
      <c r="E289" s="93">
        <f>220.51*(1.184419)</f>
        <v>261.17623369</v>
      </c>
      <c r="F289" s="93">
        <f>12.93*(1.184419)</f>
        <v>15.314537670000002</v>
      </c>
      <c r="G289" s="93"/>
      <c r="H289" s="104">
        <f t="shared" si="14"/>
        <v>276.49077136</v>
      </c>
      <c r="I289" s="105">
        <f t="shared" si="15"/>
        <v>276.49077136</v>
      </c>
    </row>
    <row r="290" spans="1:9" ht="32.4" customHeight="1" thickBot="1" x14ac:dyDescent="0.35">
      <c r="A290" s="23" t="s">
        <v>505</v>
      </c>
      <c r="B290" s="26" t="s">
        <v>506</v>
      </c>
      <c r="C290" s="24" t="s">
        <v>49</v>
      </c>
      <c r="D290" s="27">
        <v>1</v>
      </c>
      <c r="E290" s="93">
        <f>477.88*(1.184419)</f>
        <v>566.01015172000007</v>
      </c>
      <c r="F290" s="93">
        <f>18.46*(1.184419)</f>
        <v>21.864374740000002</v>
      </c>
      <c r="G290" s="93">
        <f>1.14*(1.184419)</f>
        <v>1.3502376600000001</v>
      </c>
      <c r="H290" s="104">
        <f t="shared" si="14"/>
        <v>589.22476412000003</v>
      </c>
      <c r="I290" s="105">
        <f t="shared" si="15"/>
        <v>589.22476412000003</v>
      </c>
    </row>
    <row r="291" spans="1:9" ht="15" thickBot="1" x14ac:dyDescent="0.35">
      <c r="A291" s="23" t="s">
        <v>507</v>
      </c>
      <c r="B291" s="26" t="s">
        <v>508</v>
      </c>
      <c r="C291" s="24" t="s">
        <v>49</v>
      </c>
      <c r="D291" s="27">
        <v>3</v>
      </c>
      <c r="E291" s="93">
        <f>117.6*(1.184419)</f>
        <v>139.28767440000001</v>
      </c>
      <c r="F291" s="93">
        <f>17.59*(1.184419)</f>
        <v>20.833930210000002</v>
      </c>
      <c r="G291" s="93">
        <f>1.06*(1.184419)</f>
        <v>1.2554841400000001</v>
      </c>
      <c r="H291" s="104">
        <f t="shared" si="14"/>
        <v>161.37708875000001</v>
      </c>
      <c r="I291" s="105">
        <f t="shared" si="15"/>
        <v>484.13126625000007</v>
      </c>
    </row>
    <row r="292" spans="1:9" ht="32.4" customHeight="1" thickBot="1" x14ac:dyDescent="0.35">
      <c r="A292" s="23" t="s">
        <v>509</v>
      </c>
      <c r="B292" s="26" t="s">
        <v>510</v>
      </c>
      <c r="C292" s="24" t="s">
        <v>49</v>
      </c>
      <c r="D292" s="27">
        <v>4</v>
      </c>
      <c r="E292" s="93">
        <f>54.3*(1.184419)</f>
        <v>64.313951700000004</v>
      </c>
      <c r="F292" s="93">
        <f>5.08*(1.184419)</f>
        <v>6.0168485200000008</v>
      </c>
      <c r="G292" s="93">
        <f>0.31*(1.184419)</f>
        <v>0.36716989000000005</v>
      </c>
      <c r="H292" s="104">
        <f t="shared" si="14"/>
        <v>70.69797011</v>
      </c>
      <c r="I292" s="105">
        <f t="shared" si="15"/>
        <v>282.79188044</v>
      </c>
    </row>
    <row r="293" spans="1:9" ht="42" thickBot="1" x14ac:dyDescent="0.35">
      <c r="A293" s="23" t="s">
        <v>511</v>
      </c>
      <c r="B293" s="26" t="s">
        <v>512</v>
      </c>
      <c r="C293" s="24" t="s">
        <v>49</v>
      </c>
      <c r="D293" s="27">
        <v>3</v>
      </c>
      <c r="E293" s="93">
        <f>48.88*(1.184419)</f>
        <v>57.894400720000007</v>
      </c>
      <c r="F293" s="93">
        <f>9.27*(1.184419)</f>
        <v>10.97956413</v>
      </c>
      <c r="G293" s="93">
        <f>0.56*(1.184419)</f>
        <v>0.66327464000000014</v>
      </c>
      <c r="H293" s="104">
        <f t="shared" si="14"/>
        <v>69.537239490000005</v>
      </c>
      <c r="I293" s="105">
        <f t="shared" si="15"/>
        <v>208.61171847000003</v>
      </c>
    </row>
    <row r="294" spans="1:9" ht="28.2" thickBot="1" x14ac:dyDescent="0.35">
      <c r="A294" s="23" t="s">
        <v>513</v>
      </c>
      <c r="B294" s="26" t="s">
        <v>514</v>
      </c>
      <c r="C294" s="24" t="s">
        <v>49</v>
      </c>
      <c r="D294" s="27">
        <v>9</v>
      </c>
      <c r="E294" s="93">
        <f>51.67*(1.184419)</f>
        <v>61.19892973000001</v>
      </c>
      <c r="F294" s="93">
        <f>9.27*(1.184419)</f>
        <v>10.97956413</v>
      </c>
      <c r="G294" s="93">
        <f>0.56*(1.184419)</f>
        <v>0.66327464000000014</v>
      </c>
      <c r="H294" s="104">
        <f t="shared" si="14"/>
        <v>72.841768500000001</v>
      </c>
      <c r="I294" s="105">
        <f t="shared" si="15"/>
        <v>655.57591649999995</v>
      </c>
    </row>
    <row r="295" spans="1:9" ht="28.2" thickBot="1" x14ac:dyDescent="0.35">
      <c r="A295" s="23" t="s">
        <v>515</v>
      </c>
      <c r="B295" s="26" t="s">
        <v>516</v>
      </c>
      <c r="C295" s="24" t="s">
        <v>49</v>
      </c>
      <c r="D295" s="27">
        <v>4</v>
      </c>
      <c r="E295" s="93">
        <f>122.44*(1.184419)</f>
        <v>145.02026236</v>
      </c>
      <c r="F295" s="93">
        <f>16.53*(1.184419)</f>
        <v>19.578446070000002</v>
      </c>
      <c r="G295" s="93">
        <f>0.02*(1.184419)</f>
        <v>2.3688380000000002E-2</v>
      </c>
      <c r="H295" s="104">
        <f t="shared" si="14"/>
        <v>164.62239681000003</v>
      </c>
      <c r="I295" s="105">
        <f t="shared" si="15"/>
        <v>658.48958724000011</v>
      </c>
    </row>
    <row r="296" spans="1:9" ht="28.2" thickBot="1" x14ac:dyDescent="0.35">
      <c r="A296" s="23" t="s">
        <v>517</v>
      </c>
      <c r="B296" s="26" t="s">
        <v>518</v>
      </c>
      <c r="C296" s="24" t="s">
        <v>49</v>
      </c>
      <c r="D296" s="27">
        <v>4</v>
      </c>
      <c r="E296" s="93">
        <f>307.92*(1.184419)</f>
        <v>364.70629848000004</v>
      </c>
      <c r="F296" s="93"/>
      <c r="G296" s="93"/>
      <c r="H296" s="104">
        <f t="shared" si="14"/>
        <v>364.70629848000004</v>
      </c>
      <c r="I296" s="105">
        <f t="shared" si="15"/>
        <v>1458.8251939200002</v>
      </c>
    </row>
    <row r="297" spans="1:9" ht="15" thickBot="1" x14ac:dyDescent="0.35">
      <c r="A297" s="23" t="s">
        <v>519</v>
      </c>
      <c r="B297" s="26" t="s">
        <v>520</v>
      </c>
      <c r="C297" s="24" t="s">
        <v>66</v>
      </c>
      <c r="D297" s="27">
        <v>4</v>
      </c>
      <c r="E297" s="93">
        <f>357.63*(1.184419)</f>
        <v>423.58376697000006</v>
      </c>
      <c r="F297" s="93">
        <f>27.08*(1.184419)</f>
        <v>32.074066520000002</v>
      </c>
      <c r="G297" s="93">
        <f>2.48*(1.184419)</f>
        <v>2.9373591200000004</v>
      </c>
      <c r="H297" s="104">
        <f t="shared" si="14"/>
        <v>458.59519261000003</v>
      </c>
      <c r="I297" s="105">
        <f t="shared" si="15"/>
        <v>1834.3807704400001</v>
      </c>
    </row>
    <row r="298" spans="1:9" ht="15" thickBot="1" x14ac:dyDescent="0.35">
      <c r="A298" s="23" t="s">
        <v>521</v>
      </c>
      <c r="B298" s="26" t="s">
        <v>522</v>
      </c>
      <c r="C298" s="24" t="s">
        <v>49</v>
      </c>
      <c r="D298" s="27">
        <v>7</v>
      </c>
      <c r="E298" s="93">
        <f>161.14*(1.184419)</f>
        <v>190.85727765999999</v>
      </c>
      <c r="F298" s="93">
        <f>23.9*(1.184419)</f>
        <v>28.307614100000002</v>
      </c>
      <c r="G298" s="93"/>
      <c r="H298" s="104">
        <f t="shared" si="14"/>
        <v>219.16489175999999</v>
      </c>
      <c r="I298" s="105">
        <f t="shared" si="15"/>
        <v>1534.1542423199999</v>
      </c>
    </row>
    <row r="299" spans="1:9" ht="15" thickBot="1" x14ac:dyDescent="0.35">
      <c r="A299" s="23" t="s">
        <v>523</v>
      </c>
      <c r="B299" s="26" t="s">
        <v>524</v>
      </c>
      <c r="C299" s="24" t="s">
        <v>49</v>
      </c>
      <c r="D299" s="27">
        <v>1</v>
      </c>
      <c r="E299" s="93">
        <f>145.14*(1.184419)</f>
        <v>171.90657365999999</v>
      </c>
      <c r="F299" s="93">
        <f>23.9*(1.184419)</f>
        <v>28.307614100000002</v>
      </c>
      <c r="G299" s="93"/>
      <c r="H299" s="104">
        <f t="shared" si="14"/>
        <v>200.21418775999999</v>
      </c>
      <c r="I299" s="105">
        <f t="shared" si="15"/>
        <v>200.21418775999999</v>
      </c>
    </row>
    <row r="300" spans="1:9" ht="28.2" thickBot="1" x14ac:dyDescent="0.35">
      <c r="A300" s="23" t="s">
        <v>525</v>
      </c>
      <c r="B300" s="26" t="s">
        <v>526</v>
      </c>
      <c r="C300" s="24" t="s">
        <v>49</v>
      </c>
      <c r="D300" s="27">
        <v>1</v>
      </c>
      <c r="E300" s="93">
        <f>1213.54*(1.184419)</f>
        <v>1437.33983326</v>
      </c>
      <c r="F300" s="93">
        <f>18.84*(1.184419)</f>
        <v>22.314453960000002</v>
      </c>
      <c r="G300" s="93">
        <f>1.16*(1.184419)</f>
        <v>1.37392604</v>
      </c>
      <c r="H300" s="104">
        <f t="shared" si="14"/>
        <v>1461.02821326</v>
      </c>
      <c r="I300" s="105">
        <f t="shared" si="15"/>
        <v>1461.02821326</v>
      </c>
    </row>
    <row r="301" spans="1:9" ht="28.2" thickBot="1" x14ac:dyDescent="0.35">
      <c r="A301" s="23" t="s">
        <v>527</v>
      </c>
      <c r="B301" s="26" t="s">
        <v>528</v>
      </c>
      <c r="C301" s="24" t="s">
        <v>49</v>
      </c>
      <c r="D301" s="27">
        <v>2</v>
      </c>
      <c r="E301" s="93">
        <f>64.92*(1.184419)</f>
        <v>76.892481480000015</v>
      </c>
      <c r="F301" s="93">
        <f>4.45*(1.184419)</f>
        <v>5.2706645500000011</v>
      </c>
      <c r="G301" s="93">
        <f>0.27*(1.184419)</f>
        <v>0.31979313000000004</v>
      </c>
      <c r="H301" s="104">
        <f t="shared" si="14"/>
        <v>82.482939160000015</v>
      </c>
      <c r="I301" s="105">
        <f t="shared" si="15"/>
        <v>164.96587832000003</v>
      </c>
    </row>
    <row r="302" spans="1:9" ht="15" thickBot="1" x14ac:dyDescent="0.35">
      <c r="A302" s="30"/>
      <c r="B302" s="26"/>
      <c r="C302" s="26"/>
      <c r="D302" s="26"/>
      <c r="E302" s="93"/>
      <c r="F302" s="93"/>
      <c r="G302" s="93"/>
      <c r="H302" s="104"/>
      <c r="I302" s="105"/>
    </row>
    <row r="303" spans="1:9" ht="15" thickBot="1" x14ac:dyDescent="0.35">
      <c r="A303" s="34" t="s">
        <v>529</v>
      </c>
      <c r="B303" s="36" t="s">
        <v>530</v>
      </c>
      <c r="C303" s="35"/>
      <c r="D303" s="35"/>
      <c r="E303" s="35"/>
      <c r="F303" s="35"/>
      <c r="G303" s="35"/>
      <c r="H303" s="35"/>
      <c r="I303" s="117">
        <f>I304+I318+I331+I336+I344+I364</f>
        <v>1212284.0538086959</v>
      </c>
    </row>
    <row r="304" spans="1:9" ht="15" thickBot="1" x14ac:dyDescent="0.35">
      <c r="A304" s="23" t="s">
        <v>531</v>
      </c>
      <c r="B304" s="41" t="s">
        <v>532</v>
      </c>
      <c r="C304" s="26"/>
      <c r="D304" s="26"/>
      <c r="E304" s="93"/>
      <c r="F304" s="93"/>
      <c r="G304" s="93"/>
      <c r="H304" s="104"/>
      <c r="I304" s="119">
        <f>SUM(I305:I316)</f>
        <v>83079.377035829995</v>
      </c>
    </row>
    <row r="305" spans="1:9" ht="28.2" thickBot="1" x14ac:dyDescent="0.35">
      <c r="A305" s="23" t="s">
        <v>533</v>
      </c>
      <c r="B305" s="26" t="s">
        <v>534</v>
      </c>
      <c r="C305" s="24" t="s">
        <v>49</v>
      </c>
      <c r="D305" s="27">
        <v>4</v>
      </c>
      <c r="E305" s="93">
        <f>873.58*(1.184419)</f>
        <v>1034.6847500200001</v>
      </c>
      <c r="F305" s="93">
        <f>669.44*(1.184419)</f>
        <v>792.89745536000009</v>
      </c>
      <c r="G305" s="93">
        <f>52.53*(1.184419)</f>
        <v>62.217530070000009</v>
      </c>
      <c r="H305" s="104">
        <f t="shared" si="14"/>
        <v>1889.7997354500003</v>
      </c>
      <c r="I305" s="105">
        <f t="shared" si="15"/>
        <v>7559.1989418000012</v>
      </c>
    </row>
    <row r="306" spans="1:9" ht="28.2" thickBot="1" x14ac:dyDescent="0.35">
      <c r="A306" s="23" t="s">
        <v>535</v>
      </c>
      <c r="B306" s="26" t="s">
        <v>536</v>
      </c>
      <c r="C306" s="24" t="s">
        <v>49</v>
      </c>
      <c r="D306" s="27">
        <v>2</v>
      </c>
      <c r="E306" s="93">
        <f>1481.44*(1.184419)</f>
        <v>1754.6456833600002</v>
      </c>
      <c r="F306" s="93">
        <f>715.7*(1.184419)</f>
        <v>847.68867830000011</v>
      </c>
      <c r="G306" s="93">
        <f>54.12*(1.184419)</f>
        <v>64.100756279999999</v>
      </c>
      <c r="H306" s="104">
        <f t="shared" si="14"/>
        <v>2666.4351179400005</v>
      </c>
      <c r="I306" s="105">
        <f t="shared" si="15"/>
        <v>5332.870235880001</v>
      </c>
    </row>
    <row r="307" spans="1:9" ht="28.2" thickBot="1" x14ac:dyDescent="0.35">
      <c r="A307" s="23" t="s">
        <v>537</v>
      </c>
      <c r="B307" s="26" t="s">
        <v>538</v>
      </c>
      <c r="C307" s="24" t="s">
        <v>49</v>
      </c>
      <c r="D307" s="27">
        <v>1</v>
      </c>
      <c r="E307" s="93">
        <f>1675.37*(1.184419)</f>
        <v>1984.3400600300001</v>
      </c>
      <c r="F307" s="93">
        <f>1357.18*(1.184419)</f>
        <v>1607.4697784200002</v>
      </c>
      <c r="G307" s="93">
        <f>105.88*(1.184419)</f>
        <v>125.40628372</v>
      </c>
      <c r="H307" s="104">
        <f t="shared" si="14"/>
        <v>3717.2161221700003</v>
      </c>
      <c r="I307" s="105">
        <f t="shared" si="15"/>
        <v>3717.2161221700003</v>
      </c>
    </row>
    <row r="308" spans="1:9" ht="28.2" thickBot="1" x14ac:dyDescent="0.35">
      <c r="A308" s="23" t="s">
        <v>539</v>
      </c>
      <c r="B308" s="26" t="s">
        <v>540</v>
      </c>
      <c r="C308" s="24" t="s">
        <v>49</v>
      </c>
      <c r="D308" s="27">
        <v>1</v>
      </c>
      <c r="E308" s="93">
        <f>1213.22*(1.184419)</f>
        <v>1436.9608191800003</v>
      </c>
      <c r="F308" s="93">
        <f>669.44*(1.184419)</f>
        <v>792.89745536000009</v>
      </c>
      <c r="G308" s="93">
        <f>52.53*(1.184419)</f>
        <v>62.217530070000009</v>
      </c>
      <c r="H308" s="104">
        <f t="shared" si="14"/>
        <v>2292.0758046100004</v>
      </c>
      <c r="I308" s="105">
        <f t="shared" si="15"/>
        <v>2292.0758046100004</v>
      </c>
    </row>
    <row r="309" spans="1:9" ht="28.2" thickBot="1" x14ac:dyDescent="0.35">
      <c r="A309" s="23" t="s">
        <v>541</v>
      </c>
      <c r="B309" s="26" t="s">
        <v>542</v>
      </c>
      <c r="C309" s="24" t="s">
        <v>49</v>
      </c>
      <c r="D309" s="27">
        <v>1</v>
      </c>
      <c r="E309" s="93">
        <f>1060.27*(1.184419)</f>
        <v>1255.8039331300001</v>
      </c>
      <c r="F309" s="93">
        <f>222.87*(1.184419)</f>
        <v>263.97146253000005</v>
      </c>
      <c r="G309" s="93">
        <f>17.34*(1.184419)</f>
        <v>20.537825460000001</v>
      </c>
      <c r="H309" s="104">
        <f t="shared" si="14"/>
        <v>1540.3132211200002</v>
      </c>
      <c r="I309" s="105">
        <f t="shared" si="15"/>
        <v>1540.3132211200002</v>
      </c>
    </row>
    <row r="310" spans="1:9" ht="55.8" thickBot="1" x14ac:dyDescent="0.35">
      <c r="A310" s="23" t="s">
        <v>543</v>
      </c>
      <c r="B310" s="26" t="s">
        <v>544</v>
      </c>
      <c r="C310" s="24" t="s">
        <v>49</v>
      </c>
      <c r="D310" s="27">
        <v>9</v>
      </c>
      <c r="E310" s="93">
        <f>1946.72*(1.184419)</f>
        <v>2305.7321556800002</v>
      </c>
      <c r="F310" s="93">
        <f>397.47*(1.184419)</f>
        <v>470.77101993000008</v>
      </c>
      <c r="G310" s="93">
        <f>31.13*(1.184419)</f>
        <v>36.87096347</v>
      </c>
      <c r="H310" s="104">
        <f t="shared" si="14"/>
        <v>2813.3741390800001</v>
      </c>
      <c r="I310" s="105">
        <f t="shared" si="15"/>
        <v>25320.367251719999</v>
      </c>
    </row>
    <row r="311" spans="1:9" ht="28.2" thickBot="1" x14ac:dyDescent="0.35">
      <c r="A311" s="23" t="s">
        <v>545</v>
      </c>
      <c r="B311" s="26" t="s">
        <v>546</v>
      </c>
      <c r="C311" s="24" t="s">
        <v>49</v>
      </c>
      <c r="D311" s="27">
        <v>2</v>
      </c>
      <c r="E311" s="93">
        <f>1403.66*(1.184419)</f>
        <v>1662.5215735400002</v>
      </c>
      <c r="F311" s="93">
        <f>669.44*(1.184419)</f>
        <v>792.89745536000009</v>
      </c>
      <c r="G311" s="93">
        <f>52.53*(1.184419)</f>
        <v>62.217530070000009</v>
      </c>
      <c r="H311" s="104">
        <f t="shared" si="14"/>
        <v>2517.6365589700004</v>
      </c>
      <c r="I311" s="105">
        <f t="shared" si="15"/>
        <v>5035.2731179400007</v>
      </c>
    </row>
    <row r="312" spans="1:9" ht="15" thickBot="1" x14ac:dyDescent="0.35">
      <c r="A312" s="23" t="s">
        <v>547</v>
      </c>
      <c r="B312" s="26" t="s">
        <v>548</v>
      </c>
      <c r="C312" s="24" t="s">
        <v>49</v>
      </c>
      <c r="D312" s="32">
        <v>20</v>
      </c>
      <c r="E312" s="93">
        <f>268.77*(1.184419)</f>
        <v>318.33629463</v>
      </c>
      <c r="F312" s="93">
        <f>26.34*(1.184419)</f>
        <v>31.197596460000003</v>
      </c>
      <c r="G312" s="93">
        <f>1.97*(1.184419)</f>
        <v>2.3333054300000002</v>
      </c>
      <c r="H312" s="104">
        <f t="shared" si="14"/>
        <v>351.86719651999999</v>
      </c>
      <c r="I312" s="105">
        <f t="shared" si="15"/>
        <v>7037.3439304000003</v>
      </c>
    </row>
    <row r="313" spans="1:9" ht="15" thickBot="1" x14ac:dyDescent="0.35">
      <c r="A313" s="23" t="s">
        <v>549</v>
      </c>
      <c r="B313" s="26" t="s">
        <v>550</v>
      </c>
      <c r="C313" s="24" t="s">
        <v>49</v>
      </c>
      <c r="D313" s="32">
        <v>87</v>
      </c>
      <c r="E313" s="93">
        <f>172.4*(1.184419)</f>
        <v>204.19383560000003</v>
      </c>
      <c r="F313" s="93">
        <f>7.46*(1.184419)</f>
        <v>8.8357657400000011</v>
      </c>
      <c r="G313" s="93">
        <f>0.6*(1.184419)</f>
        <v>0.71065140000000004</v>
      </c>
      <c r="H313" s="104">
        <f t="shared" si="14"/>
        <v>213.74025274000002</v>
      </c>
      <c r="I313" s="105">
        <f t="shared" si="15"/>
        <v>18595.401988380003</v>
      </c>
    </row>
    <row r="314" spans="1:9" ht="15" thickBot="1" x14ac:dyDescent="0.35">
      <c r="A314" s="23" t="s">
        <v>551</v>
      </c>
      <c r="B314" s="26" t="s">
        <v>552</v>
      </c>
      <c r="C314" s="24" t="s">
        <v>49</v>
      </c>
      <c r="D314" s="32">
        <v>5</v>
      </c>
      <c r="E314" s="93">
        <f>765.06*(1.184419)</f>
        <v>906.15160014000003</v>
      </c>
      <c r="F314" s="93">
        <f>44.4*(1.184419)</f>
        <v>52.5882036</v>
      </c>
      <c r="G314" s="93">
        <f>3.27*(1.184419)</f>
        <v>3.8730501300000002</v>
      </c>
      <c r="H314" s="104">
        <f t="shared" si="14"/>
        <v>962.61285387000009</v>
      </c>
      <c r="I314" s="105">
        <f t="shared" si="15"/>
        <v>4813.0642693500004</v>
      </c>
    </row>
    <row r="315" spans="1:9" ht="28.2" thickBot="1" x14ac:dyDescent="0.35">
      <c r="A315" s="23" t="s">
        <v>553</v>
      </c>
      <c r="B315" s="26" t="s">
        <v>554</v>
      </c>
      <c r="C315" s="24" t="s">
        <v>49</v>
      </c>
      <c r="D315" s="32">
        <v>9</v>
      </c>
      <c r="E315" s="93">
        <f>44.24*(1.184419)</f>
        <v>52.398696560000005</v>
      </c>
      <c r="F315" s="93">
        <f>35.15*(1.184419)</f>
        <v>41.632327850000003</v>
      </c>
      <c r="G315" s="93">
        <f>2.74*(1.184419)</f>
        <v>3.2453080600000006</v>
      </c>
      <c r="H315" s="104">
        <f t="shared" si="14"/>
        <v>97.276332470000014</v>
      </c>
      <c r="I315" s="105">
        <f t="shared" si="15"/>
        <v>875.48699223000017</v>
      </c>
    </row>
    <row r="316" spans="1:9" ht="28.2" thickBot="1" x14ac:dyDescent="0.35">
      <c r="A316" s="23" t="s">
        <v>555</v>
      </c>
      <c r="B316" s="26" t="s">
        <v>556</v>
      </c>
      <c r="C316" s="24" t="s">
        <v>49</v>
      </c>
      <c r="D316" s="32">
        <v>9</v>
      </c>
      <c r="E316" s="93">
        <f>52.24*(1.184419)</f>
        <v>61.874048560000006</v>
      </c>
      <c r="F316" s="93">
        <f>35.15*(1.184419)</f>
        <v>41.632327850000003</v>
      </c>
      <c r="G316" s="93">
        <f>2.74*(1.184419)</f>
        <v>3.2453080600000006</v>
      </c>
      <c r="H316" s="104">
        <f t="shared" si="14"/>
        <v>106.75168447</v>
      </c>
      <c r="I316" s="105">
        <f t="shared" si="15"/>
        <v>960.76516022999999</v>
      </c>
    </row>
    <row r="317" spans="1:9" ht="15" thickBot="1" x14ac:dyDescent="0.35">
      <c r="A317" s="30"/>
      <c r="B317" s="26"/>
      <c r="C317" s="26"/>
      <c r="D317" s="26"/>
      <c r="E317" s="93"/>
      <c r="F317" s="93"/>
      <c r="G317" s="93"/>
      <c r="H317" s="104"/>
      <c r="I317" s="105"/>
    </row>
    <row r="318" spans="1:9" ht="15" thickBot="1" x14ac:dyDescent="0.35">
      <c r="A318" s="23" t="s">
        <v>557</v>
      </c>
      <c r="B318" s="41" t="s">
        <v>558</v>
      </c>
      <c r="C318" s="26"/>
      <c r="D318" s="26"/>
      <c r="E318" s="93"/>
      <c r="F318" s="93"/>
      <c r="G318" s="93"/>
      <c r="H318" s="104"/>
      <c r="I318" s="119">
        <f>SUM(I319:I329)</f>
        <v>31775.154933853799</v>
      </c>
    </row>
    <row r="319" spans="1:9" ht="42" thickBot="1" x14ac:dyDescent="0.35">
      <c r="A319" s="23" t="s">
        <v>559</v>
      </c>
      <c r="B319" s="26" t="s">
        <v>560</v>
      </c>
      <c r="C319" s="24" t="s">
        <v>66</v>
      </c>
      <c r="D319" s="27">
        <v>2.63</v>
      </c>
      <c r="E319" s="93">
        <f t="shared" ref="E319:E325" si="16">764.53*(1.184419)</f>
        <v>905.52385807000007</v>
      </c>
      <c r="F319" s="93">
        <f t="shared" ref="F319:F325" si="17">55.73*(1.184419)</f>
        <v>66.007670869999998</v>
      </c>
      <c r="G319" s="93">
        <f t="shared" ref="G319:G325" si="18">4.58*(1.184419)</f>
        <v>5.4246390200000008</v>
      </c>
      <c r="H319" s="104">
        <f t="shared" si="14"/>
        <v>976.95616796000002</v>
      </c>
      <c r="I319" s="105">
        <f t="shared" si="15"/>
        <v>2569.3947217348</v>
      </c>
    </row>
    <row r="320" spans="1:9" ht="42" thickBot="1" x14ac:dyDescent="0.35">
      <c r="A320" s="23" t="s">
        <v>561</v>
      </c>
      <c r="B320" s="26" t="s">
        <v>562</v>
      </c>
      <c r="C320" s="24" t="s">
        <v>66</v>
      </c>
      <c r="D320" s="27">
        <v>1.3</v>
      </c>
      <c r="E320" s="93">
        <f t="shared" si="16"/>
        <v>905.52385807000007</v>
      </c>
      <c r="F320" s="93">
        <f t="shared" si="17"/>
        <v>66.007670869999998</v>
      </c>
      <c r="G320" s="93">
        <f t="shared" si="18"/>
        <v>5.4246390200000008</v>
      </c>
      <c r="H320" s="104">
        <f t="shared" si="14"/>
        <v>976.95616796000002</v>
      </c>
      <c r="I320" s="105">
        <f t="shared" si="15"/>
        <v>1270.043018348</v>
      </c>
    </row>
    <row r="321" spans="1:9" ht="42" thickBot="1" x14ac:dyDescent="0.35">
      <c r="A321" s="23" t="s">
        <v>563</v>
      </c>
      <c r="B321" s="26" t="s">
        <v>564</v>
      </c>
      <c r="C321" s="24" t="s">
        <v>66</v>
      </c>
      <c r="D321" s="27">
        <v>3.08</v>
      </c>
      <c r="E321" s="93">
        <f t="shared" si="16"/>
        <v>905.52385807000007</v>
      </c>
      <c r="F321" s="93">
        <f t="shared" si="17"/>
        <v>66.007670869999998</v>
      </c>
      <c r="G321" s="93">
        <f t="shared" si="18"/>
        <v>5.4246390200000008</v>
      </c>
      <c r="H321" s="104">
        <f t="shared" si="14"/>
        <v>976.95616796000002</v>
      </c>
      <c r="I321" s="105">
        <f t="shared" si="15"/>
        <v>3009.0249973168002</v>
      </c>
    </row>
    <row r="322" spans="1:9" ht="42" thickBot="1" x14ac:dyDescent="0.35">
      <c r="A322" s="23" t="s">
        <v>565</v>
      </c>
      <c r="B322" s="26" t="s">
        <v>566</v>
      </c>
      <c r="C322" s="24" t="s">
        <v>66</v>
      </c>
      <c r="D322" s="27">
        <v>0.88</v>
      </c>
      <c r="E322" s="93">
        <f t="shared" si="16"/>
        <v>905.52385807000007</v>
      </c>
      <c r="F322" s="93">
        <f t="shared" si="17"/>
        <v>66.007670869999998</v>
      </c>
      <c r="G322" s="93">
        <f t="shared" si="18"/>
        <v>5.4246390200000008</v>
      </c>
      <c r="H322" s="104">
        <f t="shared" si="14"/>
        <v>976.95616796000002</v>
      </c>
      <c r="I322" s="105">
        <f t="shared" si="15"/>
        <v>859.72142780479999</v>
      </c>
    </row>
    <row r="323" spans="1:9" ht="42" thickBot="1" x14ac:dyDescent="0.35">
      <c r="A323" s="23" t="s">
        <v>567</v>
      </c>
      <c r="B323" s="26" t="s">
        <v>568</v>
      </c>
      <c r="C323" s="24" t="s">
        <v>66</v>
      </c>
      <c r="D323" s="27">
        <v>2.0299999999999998</v>
      </c>
      <c r="E323" s="93">
        <f t="shared" si="16"/>
        <v>905.52385807000007</v>
      </c>
      <c r="F323" s="93">
        <f t="shared" si="17"/>
        <v>66.007670869999998</v>
      </c>
      <c r="G323" s="93">
        <f t="shared" si="18"/>
        <v>5.4246390200000008</v>
      </c>
      <c r="H323" s="104">
        <f t="shared" si="14"/>
        <v>976.95616796000002</v>
      </c>
      <c r="I323" s="105">
        <f t="shared" si="15"/>
        <v>1983.2210209588</v>
      </c>
    </row>
    <row r="324" spans="1:9" ht="42" thickBot="1" x14ac:dyDescent="0.35">
      <c r="A324" s="23" t="s">
        <v>569</v>
      </c>
      <c r="B324" s="26" t="s">
        <v>570</v>
      </c>
      <c r="C324" s="24" t="s">
        <v>66</v>
      </c>
      <c r="D324" s="27">
        <v>2.94</v>
      </c>
      <c r="E324" s="93">
        <f t="shared" si="16"/>
        <v>905.52385807000007</v>
      </c>
      <c r="F324" s="93">
        <f t="shared" si="17"/>
        <v>66.007670869999998</v>
      </c>
      <c r="G324" s="93">
        <f t="shared" si="18"/>
        <v>5.4246390200000008</v>
      </c>
      <c r="H324" s="104">
        <f t="shared" si="14"/>
        <v>976.95616796000002</v>
      </c>
      <c r="I324" s="105">
        <f t="shared" si="15"/>
        <v>2872.2511338024001</v>
      </c>
    </row>
    <row r="325" spans="1:9" ht="42" thickBot="1" x14ac:dyDescent="0.35">
      <c r="A325" s="23" t="s">
        <v>571</v>
      </c>
      <c r="B325" s="26" t="s">
        <v>572</v>
      </c>
      <c r="C325" s="24" t="s">
        <v>66</v>
      </c>
      <c r="D325" s="27">
        <v>5.21</v>
      </c>
      <c r="E325" s="93">
        <f t="shared" si="16"/>
        <v>905.52385807000007</v>
      </c>
      <c r="F325" s="93">
        <f t="shared" si="17"/>
        <v>66.007670869999998</v>
      </c>
      <c r="G325" s="93">
        <f t="shared" si="18"/>
        <v>5.4246390200000008</v>
      </c>
      <c r="H325" s="104">
        <f t="shared" si="14"/>
        <v>976.95616796000002</v>
      </c>
      <c r="I325" s="105">
        <f t="shared" si="15"/>
        <v>5089.9416350716001</v>
      </c>
    </row>
    <row r="326" spans="1:9" ht="42" thickBot="1" x14ac:dyDescent="0.35">
      <c r="A326" s="23" t="s">
        <v>573</v>
      </c>
      <c r="B326" s="26" t="s">
        <v>574</v>
      </c>
      <c r="C326" s="24" t="s">
        <v>66</v>
      </c>
      <c r="D326" s="27">
        <v>1.74</v>
      </c>
      <c r="E326" s="93">
        <f>872.7*(1.184419)</f>
        <v>1033.6424613000002</v>
      </c>
      <c r="F326" s="93">
        <f>23.51*(1.184419)</f>
        <v>27.845690690000005</v>
      </c>
      <c r="G326" s="93">
        <f>1.94*(1.184419)</f>
        <v>2.2977728600000003</v>
      </c>
      <c r="H326" s="104">
        <f t="shared" si="14"/>
        <v>1063.7859248500001</v>
      </c>
      <c r="I326" s="105">
        <f t="shared" si="15"/>
        <v>1850.9875092390002</v>
      </c>
    </row>
    <row r="327" spans="1:9" ht="42" thickBot="1" x14ac:dyDescent="0.35">
      <c r="A327" s="23" t="s">
        <v>575</v>
      </c>
      <c r="B327" s="26" t="s">
        <v>576</v>
      </c>
      <c r="C327" s="24" t="s">
        <v>66</v>
      </c>
      <c r="D327" s="27">
        <v>8.6</v>
      </c>
      <c r="E327" s="93">
        <f>764.53*(1.184419)</f>
        <v>905.52385807000007</v>
      </c>
      <c r="F327" s="93">
        <f>55.73*(1.184419)</f>
        <v>66.007670869999998</v>
      </c>
      <c r="G327" s="93">
        <f>4.58*(1.184419)</f>
        <v>5.4246390200000008</v>
      </c>
      <c r="H327" s="104">
        <f t="shared" si="14"/>
        <v>976.95616796000002</v>
      </c>
      <c r="I327" s="105">
        <f t="shared" si="15"/>
        <v>8401.8230444559995</v>
      </c>
    </row>
    <row r="328" spans="1:9" ht="42" thickBot="1" x14ac:dyDescent="0.35">
      <c r="A328" s="23" t="s">
        <v>577</v>
      </c>
      <c r="B328" s="26" t="s">
        <v>578</v>
      </c>
      <c r="C328" s="24" t="s">
        <v>66</v>
      </c>
      <c r="D328" s="27">
        <v>1.98</v>
      </c>
      <c r="E328" s="93">
        <f>764.53*(1.184419)</f>
        <v>905.52385807000007</v>
      </c>
      <c r="F328" s="93">
        <f>55.73*(1.184419)</f>
        <v>66.007670869999998</v>
      </c>
      <c r="G328" s="93">
        <f>4.58*(1.184419)</f>
        <v>5.4246390200000008</v>
      </c>
      <c r="H328" s="104">
        <f t="shared" ref="H328:H391" si="19">E328+F328+G328</f>
        <v>976.95616796000002</v>
      </c>
      <c r="I328" s="105">
        <f t="shared" ref="I328:I391" si="20">H328*D328</f>
        <v>1934.3732125608001</v>
      </c>
    </row>
    <row r="329" spans="1:9" ht="42" thickBot="1" x14ac:dyDescent="0.35">
      <c r="A329" s="23" t="s">
        <v>579</v>
      </c>
      <c r="B329" s="26" t="s">
        <v>580</v>
      </c>
      <c r="C329" s="24" t="s">
        <v>66</v>
      </c>
      <c r="D329" s="27">
        <v>1.98</v>
      </c>
      <c r="E329" s="93">
        <f>764.53*(1.184419)</f>
        <v>905.52385807000007</v>
      </c>
      <c r="F329" s="93">
        <f>55.73*(1.184419)</f>
        <v>66.007670869999998</v>
      </c>
      <c r="G329" s="93">
        <f>4.58*(1.184419)</f>
        <v>5.4246390200000008</v>
      </c>
      <c r="H329" s="104">
        <f t="shared" si="19"/>
        <v>976.95616796000002</v>
      </c>
      <c r="I329" s="105">
        <f t="shared" si="20"/>
        <v>1934.3732125608001</v>
      </c>
    </row>
    <row r="330" spans="1:9" ht="15" thickBot="1" x14ac:dyDescent="0.35">
      <c r="A330" s="30"/>
      <c r="B330" s="26"/>
      <c r="C330" s="26"/>
      <c r="D330" s="26"/>
      <c r="E330" s="93"/>
      <c r="F330" s="93"/>
      <c r="G330" s="93"/>
      <c r="H330" s="104"/>
      <c r="I330" s="105"/>
    </row>
    <row r="331" spans="1:9" ht="15" thickBot="1" x14ac:dyDescent="0.35">
      <c r="A331" s="23" t="s">
        <v>581</v>
      </c>
      <c r="B331" s="41" t="s">
        <v>558</v>
      </c>
      <c r="C331" s="26"/>
      <c r="D331" s="26"/>
      <c r="E331" s="93"/>
      <c r="F331" s="93"/>
      <c r="G331" s="93"/>
      <c r="H331" s="104"/>
      <c r="I331" s="119">
        <f>SUM(I332:I334)</f>
        <v>7999.6891055760007</v>
      </c>
    </row>
    <row r="332" spans="1:9" ht="28.2" thickBot="1" x14ac:dyDescent="0.35">
      <c r="A332" s="23" t="s">
        <v>582</v>
      </c>
      <c r="B332" s="26" t="s">
        <v>583</v>
      </c>
      <c r="C332" s="24" t="s">
        <v>66</v>
      </c>
      <c r="D332" s="27">
        <v>3.78</v>
      </c>
      <c r="E332" s="93">
        <f>656.54*(1.184419)</f>
        <v>777.61845026000003</v>
      </c>
      <c r="F332" s="93">
        <f>12.48*(1.184419)</f>
        <v>14.781549120000001</v>
      </c>
      <c r="G332" s="93">
        <f>1.03*(1.184419)</f>
        <v>1.2199515700000001</v>
      </c>
      <c r="H332" s="104">
        <f t="shared" si="19"/>
        <v>793.61995095000009</v>
      </c>
      <c r="I332" s="105">
        <f t="shared" si="20"/>
        <v>2999.883414591</v>
      </c>
    </row>
    <row r="333" spans="1:9" ht="28.2" thickBot="1" x14ac:dyDescent="0.35">
      <c r="A333" s="23" t="s">
        <v>584</v>
      </c>
      <c r="B333" s="26" t="s">
        <v>585</v>
      </c>
      <c r="C333" s="24" t="s">
        <v>66</v>
      </c>
      <c r="D333" s="27">
        <v>3.6</v>
      </c>
      <c r="E333" s="93">
        <f>656.54*(1.184419)</f>
        <v>777.61845026000003</v>
      </c>
      <c r="F333" s="93">
        <f>12.48*(1.184419)</f>
        <v>14.781549120000001</v>
      </c>
      <c r="G333" s="93">
        <f>1.03*(1.184419)</f>
        <v>1.2199515700000001</v>
      </c>
      <c r="H333" s="104">
        <f t="shared" si="19"/>
        <v>793.61995095000009</v>
      </c>
      <c r="I333" s="105">
        <f t="shared" si="20"/>
        <v>2857.0318234200004</v>
      </c>
    </row>
    <row r="334" spans="1:9" ht="28.2" thickBot="1" x14ac:dyDescent="0.35">
      <c r="A334" s="23" t="s">
        <v>586</v>
      </c>
      <c r="B334" s="26" t="s">
        <v>587</v>
      </c>
      <c r="C334" s="24" t="s">
        <v>66</v>
      </c>
      <c r="D334" s="27">
        <v>2.7</v>
      </c>
      <c r="E334" s="93">
        <f>656.54*(1.184419)</f>
        <v>777.61845026000003</v>
      </c>
      <c r="F334" s="93">
        <f>12.48*(1.184419)</f>
        <v>14.781549120000001</v>
      </c>
      <c r="G334" s="93">
        <f>1.03*(1.184419)</f>
        <v>1.2199515700000001</v>
      </c>
      <c r="H334" s="104">
        <f t="shared" si="19"/>
        <v>793.61995095000009</v>
      </c>
      <c r="I334" s="105">
        <f t="shared" si="20"/>
        <v>2142.7738675650003</v>
      </c>
    </row>
    <row r="335" spans="1:9" ht="15" thickBot="1" x14ac:dyDescent="0.35">
      <c r="A335" s="30"/>
      <c r="B335" s="26"/>
      <c r="C335" s="26"/>
      <c r="D335" s="26"/>
      <c r="E335" s="93"/>
      <c r="F335" s="93"/>
      <c r="G335" s="93"/>
      <c r="H335" s="104"/>
      <c r="I335" s="105"/>
    </row>
    <row r="336" spans="1:9" ht="15" thickBot="1" x14ac:dyDescent="0.35">
      <c r="A336" s="23" t="s">
        <v>588</v>
      </c>
      <c r="B336" s="41" t="s">
        <v>589</v>
      </c>
      <c r="C336" s="26"/>
      <c r="D336" s="26"/>
      <c r="E336" s="93"/>
      <c r="F336" s="93"/>
      <c r="G336" s="93"/>
      <c r="H336" s="104"/>
      <c r="I336" s="119">
        <f>SUM(I337:I342)</f>
        <v>32889.591115936004</v>
      </c>
    </row>
    <row r="337" spans="1:9" ht="28.2" thickBot="1" x14ac:dyDescent="0.35">
      <c r="A337" s="23" t="s">
        <v>590</v>
      </c>
      <c r="B337" s="26" t="s">
        <v>591</v>
      </c>
      <c r="C337" s="24" t="s">
        <v>66</v>
      </c>
      <c r="D337" s="27">
        <v>9.23</v>
      </c>
      <c r="E337" s="93">
        <f t="shared" ref="E337:E342" si="21">365.04*(1.184419)</f>
        <v>432.36031176000006</v>
      </c>
      <c r="F337" s="93">
        <f t="shared" ref="F337:F342" si="22">56.56*(1.184419)</f>
        <v>66.990738640000004</v>
      </c>
      <c r="G337" s="93">
        <f t="shared" ref="G337:G342" si="23">5.28*(1.184419)</f>
        <v>6.253732320000001</v>
      </c>
      <c r="H337" s="104">
        <f t="shared" si="19"/>
        <v>505.60478272000006</v>
      </c>
      <c r="I337" s="105">
        <f t="shared" si="20"/>
        <v>4666.7321445056004</v>
      </c>
    </row>
    <row r="338" spans="1:9" ht="28.2" thickBot="1" x14ac:dyDescent="0.35">
      <c r="A338" s="23" t="s">
        <v>592</v>
      </c>
      <c r="B338" s="26" t="s">
        <v>593</v>
      </c>
      <c r="C338" s="24" t="s">
        <v>66</v>
      </c>
      <c r="D338" s="27">
        <v>13.13</v>
      </c>
      <c r="E338" s="93">
        <f t="shared" si="21"/>
        <v>432.36031176000006</v>
      </c>
      <c r="F338" s="93">
        <f t="shared" si="22"/>
        <v>66.990738640000004</v>
      </c>
      <c r="G338" s="93">
        <f t="shared" si="23"/>
        <v>6.253732320000001</v>
      </c>
      <c r="H338" s="104">
        <f t="shared" si="19"/>
        <v>505.60478272000006</v>
      </c>
      <c r="I338" s="105">
        <f t="shared" si="20"/>
        <v>6638.5907971136012</v>
      </c>
    </row>
    <row r="339" spans="1:9" ht="28.2" thickBot="1" x14ac:dyDescent="0.35">
      <c r="A339" s="23" t="s">
        <v>594</v>
      </c>
      <c r="B339" s="26" t="s">
        <v>595</v>
      </c>
      <c r="C339" s="24" t="s">
        <v>66</v>
      </c>
      <c r="D339" s="27">
        <v>8.56</v>
      </c>
      <c r="E339" s="93">
        <f t="shared" si="21"/>
        <v>432.36031176000006</v>
      </c>
      <c r="F339" s="93">
        <f t="shared" si="22"/>
        <v>66.990738640000004</v>
      </c>
      <c r="G339" s="93">
        <f t="shared" si="23"/>
        <v>6.253732320000001</v>
      </c>
      <c r="H339" s="104">
        <f t="shared" si="19"/>
        <v>505.60478272000006</v>
      </c>
      <c r="I339" s="105">
        <f t="shared" si="20"/>
        <v>4327.976940083201</v>
      </c>
    </row>
    <row r="340" spans="1:9" ht="28.2" thickBot="1" x14ac:dyDescent="0.35">
      <c r="A340" s="23" t="s">
        <v>596</v>
      </c>
      <c r="B340" s="26" t="s">
        <v>597</v>
      </c>
      <c r="C340" s="24" t="s">
        <v>66</v>
      </c>
      <c r="D340" s="27">
        <v>11.76</v>
      </c>
      <c r="E340" s="93">
        <f t="shared" si="21"/>
        <v>432.36031176000006</v>
      </c>
      <c r="F340" s="93">
        <f t="shared" si="22"/>
        <v>66.990738640000004</v>
      </c>
      <c r="G340" s="93">
        <f t="shared" si="23"/>
        <v>6.253732320000001</v>
      </c>
      <c r="H340" s="104">
        <f t="shared" si="19"/>
        <v>505.60478272000006</v>
      </c>
      <c r="I340" s="105">
        <f t="shared" si="20"/>
        <v>5945.9122447872005</v>
      </c>
    </row>
    <row r="341" spans="1:9" ht="28.2" thickBot="1" x14ac:dyDescent="0.35">
      <c r="A341" s="23" t="s">
        <v>598</v>
      </c>
      <c r="B341" s="26" t="s">
        <v>599</v>
      </c>
      <c r="C341" s="24" t="s">
        <v>66</v>
      </c>
      <c r="D341" s="27">
        <v>10.86</v>
      </c>
      <c r="E341" s="93">
        <f t="shared" si="21"/>
        <v>432.36031176000006</v>
      </c>
      <c r="F341" s="93">
        <f t="shared" si="22"/>
        <v>66.990738640000004</v>
      </c>
      <c r="G341" s="93">
        <f t="shared" si="23"/>
        <v>6.253732320000001</v>
      </c>
      <c r="H341" s="104">
        <f t="shared" si="19"/>
        <v>505.60478272000006</v>
      </c>
      <c r="I341" s="105">
        <f t="shared" si="20"/>
        <v>5490.8679403392007</v>
      </c>
    </row>
    <row r="342" spans="1:9" ht="28.2" thickBot="1" x14ac:dyDescent="0.35">
      <c r="A342" s="23" t="s">
        <v>600</v>
      </c>
      <c r="B342" s="26" t="s">
        <v>601</v>
      </c>
      <c r="C342" s="24" t="s">
        <v>66</v>
      </c>
      <c r="D342" s="27">
        <v>11.51</v>
      </c>
      <c r="E342" s="93">
        <f t="shared" si="21"/>
        <v>432.36031176000006</v>
      </c>
      <c r="F342" s="93">
        <f t="shared" si="22"/>
        <v>66.990738640000004</v>
      </c>
      <c r="G342" s="93">
        <f t="shared" si="23"/>
        <v>6.253732320000001</v>
      </c>
      <c r="H342" s="104">
        <f t="shared" si="19"/>
        <v>505.60478272000006</v>
      </c>
      <c r="I342" s="105">
        <f t="shared" si="20"/>
        <v>5819.511049107201</v>
      </c>
    </row>
    <row r="343" spans="1:9" ht="15" thickBot="1" x14ac:dyDescent="0.35">
      <c r="A343" s="30"/>
      <c r="B343" s="26"/>
      <c r="C343" s="26"/>
      <c r="D343" s="26"/>
      <c r="E343" s="93"/>
      <c r="F343" s="93"/>
      <c r="G343" s="93"/>
      <c r="H343" s="104"/>
      <c r="I343" s="105"/>
    </row>
    <row r="344" spans="1:9" ht="15" thickBot="1" x14ac:dyDescent="0.35">
      <c r="A344" s="23" t="s">
        <v>602</v>
      </c>
      <c r="B344" s="41" t="s">
        <v>603</v>
      </c>
      <c r="C344" s="26"/>
      <c r="D344" s="26"/>
      <c r="E344" s="93"/>
      <c r="F344" s="93"/>
      <c r="G344" s="93"/>
      <c r="H344" s="104"/>
      <c r="I344" s="119">
        <f>SUM(I345:I362)</f>
        <v>968160.67246600008</v>
      </c>
    </row>
    <row r="345" spans="1:9" ht="42" thickBot="1" x14ac:dyDescent="0.35">
      <c r="A345" s="23" t="s">
        <v>604</v>
      </c>
      <c r="B345" s="26" t="s">
        <v>605</v>
      </c>
      <c r="C345" s="24" t="s">
        <v>340</v>
      </c>
      <c r="D345" s="27">
        <v>9.2200000000000006</v>
      </c>
      <c r="E345" s="93">
        <f t="shared" ref="E345:E362" si="24">1300*(1.184419)</f>
        <v>1539.7447000000002</v>
      </c>
      <c r="F345" s="93"/>
      <c r="G345" s="93"/>
      <c r="H345" s="104">
        <f t="shared" si="19"/>
        <v>1539.7447000000002</v>
      </c>
      <c r="I345" s="105">
        <f t="shared" si="20"/>
        <v>14196.446134000003</v>
      </c>
    </row>
    <row r="346" spans="1:9" ht="42" thickBot="1" x14ac:dyDescent="0.35">
      <c r="A346" s="23" t="s">
        <v>606</v>
      </c>
      <c r="B346" s="26" t="s">
        <v>607</v>
      </c>
      <c r="C346" s="24" t="s">
        <v>340</v>
      </c>
      <c r="D346" s="27">
        <v>12.35</v>
      </c>
      <c r="E346" s="93">
        <f t="shared" si="24"/>
        <v>1539.7447000000002</v>
      </c>
      <c r="F346" s="93"/>
      <c r="G346" s="93"/>
      <c r="H346" s="104">
        <f t="shared" si="19"/>
        <v>1539.7447000000002</v>
      </c>
      <c r="I346" s="105">
        <f t="shared" si="20"/>
        <v>19015.847045000002</v>
      </c>
    </row>
    <row r="347" spans="1:9" ht="42" thickBot="1" x14ac:dyDescent="0.35">
      <c r="A347" s="23" t="s">
        <v>608</v>
      </c>
      <c r="B347" s="26" t="s">
        <v>609</v>
      </c>
      <c r="C347" s="24" t="s">
        <v>340</v>
      </c>
      <c r="D347" s="27">
        <v>5.93</v>
      </c>
      <c r="E347" s="93">
        <f t="shared" si="24"/>
        <v>1539.7447000000002</v>
      </c>
      <c r="F347" s="93"/>
      <c r="G347" s="93"/>
      <c r="H347" s="104">
        <f t="shared" si="19"/>
        <v>1539.7447000000002</v>
      </c>
      <c r="I347" s="105">
        <f t="shared" si="20"/>
        <v>9130.6860710000001</v>
      </c>
    </row>
    <row r="348" spans="1:9" ht="42" thickBot="1" x14ac:dyDescent="0.35">
      <c r="A348" s="23" t="s">
        <v>610</v>
      </c>
      <c r="B348" s="26" t="s">
        <v>611</v>
      </c>
      <c r="C348" s="24" t="s">
        <v>340</v>
      </c>
      <c r="D348" s="27">
        <v>191.07</v>
      </c>
      <c r="E348" s="93">
        <f t="shared" si="24"/>
        <v>1539.7447000000002</v>
      </c>
      <c r="F348" s="93"/>
      <c r="G348" s="93"/>
      <c r="H348" s="104">
        <f t="shared" si="19"/>
        <v>1539.7447000000002</v>
      </c>
      <c r="I348" s="105">
        <f t="shared" si="20"/>
        <v>294199.01982900006</v>
      </c>
    </row>
    <row r="349" spans="1:9" ht="42" thickBot="1" x14ac:dyDescent="0.35">
      <c r="A349" s="23" t="s">
        <v>612</v>
      </c>
      <c r="B349" s="26" t="s">
        <v>613</v>
      </c>
      <c r="C349" s="24" t="s">
        <v>340</v>
      </c>
      <c r="D349" s="27">
        <v>30.92</v>
      </c>
      <c r="E349" s="93">
        <f t="shared" si="24"/>
        <v>1539.7447000000002</v>
      </c>
      <c r="F349" s="93"/>
      <c r="G349" s="93"/>
      <c r="H349" s="104">
        <f t="shared" si="19"/>
        <v>1539.7447000000002</v>
      </c>
      <c r="I349" s="105">
        <f t="shared" si="20"/>
        <v>47608.906124000008</v>
      </c>
    </row>
    <row r="350" spans="1:9" ht="42" thickBot="1" x14ac:dyDescent="0.35">
      <c r="A350" s="23" t="s">
        <v>614</v>
      </c>
      <c r="B350" s="26" t="s">
        <v>615</v>
      </c>
      <c r="C350" s="24" t="s">
        <v>340</v>
      </c>
      <c r="D350" s="27">
        <v>73.44</v>
      </c>
      <c r="E350" s="93">
        <f t="shared" si="24"/>
        <v>1539.7447000000002</v>
      </c>
      <c r="F350" s="93"/>
      <c r="G350" s="93"/>
      <c r="H350" s="104">
        <f t="shared" si="19"/>
        <v>1539.7447000000002</v>
      </c>
      <c r="I350" s="105">
        <f t="shared" si="20"/>
        <v>113078.850768</v>
      </c>
    </row>
    <row r="351" spans="1:9" ht="42" thickBot="1" x14ac:dyDescent="0.35">
      <c r="A351" s="23" t="s">
        <v>616</v>
      </c>
      <c r="B351" s="26" t="s">
        <v>617</v>
      </c>
      <c r="C351" s="24" t="s">
        <v>340</v>
      </c>
      <c r="D351" s="27">
        <v>15.68</v>
      </c>
      <c r="E351" s="93">
        <f t="shared" si="24"/>
        <v>1539.7447000000002</v>
      </c>
      <c r="F351" s="93"/>
      <c r="G351" s="93"/>
      <c r="H351" s="104">
        <f t="shared" si="19"/>
        <v>1539.7447000000002</v>
      </c>
      <c r="I351" s="105">
        <f t="shared" si="20"/>
        <v>24143.196896000001</v>
      </c>
    </row>
    <row r="352" spans="1:9" ht="42" thickBot="1" x14ac:dyDescent="0.35">
      <c r="A352" s="23" t="s">
        <v>618</v>
      </c>
      <c r="B352" s="26" t="s">
        <v>619</v>
      </c>
      <c r="C352" s="24" t="s">
        <v>340</v>
      </c>
      <c r="D352" s="27">
        <v>33</v>
      </c>
      <c r="E352" s="93">
        <f t="shared" si="24"/>
        <v>1539.7447000000002</v>
      </c>
      <c r="F352" s="93"/>
      <c r="G352" s="93"/>
      <c r="H352" s="104">
        <f t="shared" si="19"/>
        <v>1539.7447000000002</v>
      </c>
      <c r="I352" s="105">
        <f t="shared" si="20"/>
        <v>50811.575100000009</v>
      </c>
    </row>
    <row r="353" spans="1:9" ht="42" thickBot="1" x14ac:dyDescent="0.35">
      <c r="A353" s="23" t="s">
        <v>620</v>
      </c>
      <c r="B353" s="26" t="s">
        <v>621</v>
      </c>
      <c r="C353" s="24" t="s">
        <v>340</v>
      </c>
      <c r="D353" s="27">
        <v>1.76</v>
      </c>
      <c r="E353" s="93">
        <f t="shared" si="24"/>
        <v>1539.7447000000002</v>
      </c>
      <c r="F353" s="93"/>
      <c r="G353" s="93"/>
      <c r="H353" s="104">
        <f t="shared" si="19"/>
        <v>1539.7447000000002</v>
      </c>
      <c r="I353" s="105">
        <f t="shared" si="20"/>
        <v>2709.9506720000004</v>
      </c>
    </row>
    <row r="354" spans="1:9" ht="42" thickBot="1" x14ac:dyDescent="0.35">
      <c r="A354" s="23" t="s">
        <v>622</v>
      </c>
      <c r="B354" s="26" t="s">
        <v>623</v>
      </c>
      <c r="C354" s="24" t="s">
        <v>340</v>
      </c>
      <c r="D354" s="27">
        <v>21.65</v>
      </c>
      <c r="E354" s="93">
        <f t="shared" si="24"/>
        <v>1539.7447000000002</v>
      </c>
      <c r="F354" s="93"/>
      <c r="G354" s="93"/>
      <c r="H354" s="104">
        <f t="shared" si="19"/>
        <v>1539.7447000000002</v>
      </c>
      <c r="I354" s="105">
        <f t="shared" si="20"/>
        <v>33335.472755000003</v>
      </c>
    </row>
    <row r="355" spans="1:9" ht="42" thickBot="1" x14ac:dyDescent="0.35">
      <c r="A355" s="23" t="s">
        <v>624</v>
      </c>
      <c r="B355" s="26" t="s">
        <v>625</v>
      </c>
      <c r="C355" s="24" t="s">
        <v>340</v>
      </c>
      <c r="D355" s="121">
        <v>37.58</v>
      </c>
      <c r="E355" s="93">
        <f t="shared" si="24"/>
        <v>1539.7447000000002</v>
      </c>
      <c r="F355" s="93"/>
      <c r="G355" s="93"/>
      <c r="H355" s="104">
        <f t="shared" si="19"/>
        <v>1539.7447000000002</v>
      </c>
      <c r="I355" s="105">
        <f t="shared" si="20"/>
        <v>57863.605826000006</v>
      </c>
    </row>
    <row r="356" spans="1:9" ht="55.8" thickBot="1" x14ac:dyDescent="0.35">
      <c r="A356" s="23" t="s">
        <v>626</v>
      </c>
      <c r="B356" s="26" t="s">
        <v>627</v>
      </c>
      <c r="C356" s="24" t="s">
        <v>340</v>
      </c>
      <c r="D356" s="27">
        <v>105.08</v>
      </c>
      <c r="E356" s="93">
        <f t="shared" si="24"/>
        <v>1539.7447000000002</v>
      </c>
      <c r="F356" s="93"/>
      <c r="G356" s="93"/>
      <c r="H356" s="104">
        <f t="shared" si="19"/>
        <v>1539.7447000000002</v>
      </c>
      <c r="I356" s="105">
        <f t="shared" si="20"/>
        <v>161796.37307600002</v>
      </c>
    </row>
    <row r="357" spans="1:9" ht="42" thickBot="1" x14ac:dyDescent="0.35">
      <c r="A357" s="23" t="s">
        <v>628</v>
      </c>
      <c r="B357" s="26" t="s">
        <v>629</v>
      </c>
      <c r="C357" s="24" t="s">
        <v>340</v>
      </c>
      <c r="D357" s="27">
        <v>18.32</v>
      </c>
      <c r="E357" s="93">
        <f t="shared" si="24"/>
        <v>1539.7447000000002</v>
      </c>
      <c r="F357" s="93"/>
      <c r="G357" s="93"/>
      <c r="H357" s="104">
        <f t="shared" si="19"/>
        <v>1539.7447000000002</v>
      </c>
      <c r="I357" s="105">
        <f t="shared" si="20"/>
        <v>28208.122904000003</v>
      </c>
    </row>
    <row r="358" spans="1:9" ht="42" thickBot="1" x14ac:dyDescent="0.35">
      <c r="A358" s="23" t="s">
        <v>630</v>
      </c>
      <c r="B358" s="26" t="s">
        <v>631</v>
      </c>
      <c r="C358" s="24" t="s">
        <v>340</v>
      </c>
      <c r="D358" s="27">
        <v>16.82</v>
      </c>
      <c r="E358" s="93">
        <f t="shared" si="24"/>
        <v>1539.7447000000002</v>
      </c>
      <c r="F358" s="93"/>
      <c r="G358" s="93"/>
      <c r="H358" s="104">
        <f t="shared" si="19"/>
        <v>1539.7447000000002</v>
      </c>
      <c r="I358" s="105">
        <f t="shared" si="20"/>
        <v>25898.505854000003</v>
      </c>
    </row>
    <row r="359" spans="1:9" ht="42" thickBot="1" x14ac:dyDescent="0.35">
      <c r="A359" s="23" t="s">
        <v>632</v>
      </c>
      <c r="B359" s="26" t="s">
        <v>633</v>
      </c>
      <c r="C359" s="24" t="s">
        <v>340</v>
      </c>
      <c r="D359" s="27">
        <v>2.35</v>
      </c>
      <c r="E359" s="93">
        <f t="shared" si="24"/>
        <v>1539.7447000000002</v>
      </c>
      <c r="F359" s="93"/>
      <c r="G359" s="93"/>
      <c r="H359" s="104">
        <f t="shared" si="19"/>
        <v>1539.7447000000002</v>
      </c>
      <c r="I359" s="105">
        <f t="shared" si="20"/>
        <v>3618.4000450000008</v>
      </c>
    </row>
    <row r="360" spans="1:9" ht="42" thickBot="1" x14ac:dyDescent="0.35">
      <c r="A360" s="23" t="s">
        <v>634</v>
      </c>
      <c r="B360" s="26" t="s">
        <v>635</v>
      </c>
      <c r="C360" s="24" t="s">
        <v>340</v>
      </c>
      <c r="D360" s="27">
        <v>2.35</v>
      </c>
      <c r="E360" s="93">
        <f t="shared" si="24"/>
        <v>1539.7447000000002</v>
      </c>
      <c r="F360" s="93"/>
      <c r="G360" s="93"/>
      <c r="H360" s="104">
        <f t="shared" si="19"/>
        <v>1539.7447000000002</v>
      </c>
      <c r="I360" s="105">
        <f t="shared" si="20"/>
        <v>3618.4000450000008</v>
      </c>
    </row>
    <row r="361" spans="1:9" ht="42" thickBot="1" x14ac:dyDescent="0.35">
      <c r="A361" s="23" t="s">
        <v>636</v>
      </c>
      <c r="B361" s="26" t="s">
        <v>637</v>
      </c>
      <c r="C361" s="24" t="s">
        <v>340</v>
      </c>
      <c r="D361" s="27">
        <v>45.23</v>
      </c>
      <c r="E361" s="93">
        <f t="shared" si="24"/>
        <v>1539.7447000000002</v>
      </c>
      <c r="F361" s="93"/>
      <c r="G361" s="93"/>
      <c r="H361" s="104">
        <f t="shared" si="19"/>
        <v>1539.7447000000002</v>
      </c>
      <c r="I361" s="105">
        <f t="shared" si="20"/>
        <v>69642.652780999997</v>
      </c>
    </row>
    <row r="362" spans="1:9" ht="42" thickBot="1" x14ac:dyDescent="0.35">
      <c r="A362" s="23" t="s">
        <v>638</v>
      </c>
      <c r="B362" s="26" t="s">
        <v>639</v>
      </c>
      <c r="C362" s="24" t="s">
        <v>340</v>
      </c>
      <c r="D362" s="27">
        <v>6.03</v>
      </c>
      <c r="E362" s="93">
        <f t="shared" si="24"/>
        <v>1539.7447000000002</v>
      </c>
      <c r="F362" s="93"/>
      <c r="G362" s="93"/>
      <c r="H362" s="104">
        <f t="shared" si="19"/>
        <v>1539.7447000000002</v>
      </c>
      <c r="I362" s="105">
        <f t="shared" si="20"/>
        <v>9284.6605410000011</v>
      </c>
    </row>
    <row r="363" spans="1:9" ht="15" thickBot="1" x14ac:dyDescent="0.35">
      <c r="A363" s="30"/>
      <c r="B363" s="26"/>
      <c r="C363" s="26"/>
      <c r="D363" s="26"/>
      <c r="E363" s="93"/>
      <c r="F363" s="93"/>
      <c r="G363" s="93"/>
      <c r="H363" s="104"/>
      <c r="I363" s="105"/>
    </row>
    <row r="364" spans="1:9" ht="15" thickBot="1" x14ac:dyDescent="0.35">
      <c r="A364" s="40" t="s">
        <v>640</v>
      </c>
      <c r="B364" s="41" t="s">
        <v>641</v>
      </c>
      <c r="C364" s="26"/>
      <c r="D364" s="26"/>
      <c r="E364" s="93"/>
      <c r="F364" s="93"/>
      <c r="G364" s="93"/>
      <c r="H364" s="104"/>
      <c r="I364" s="119">
        <f>SUM(I365:I371)</f>
        <v>88379.569151500007</v>
      </c>
    </row>
    <row r="365" spans="1:9" ht="28.2" thickBot="1" x14ac:dyDescent="0.35">
      <c r="A365" s="23" t="s">
        <v>642</v>
      </c>
      <c r="B365" s="26" t="s">
        <v>643</v>
      </c>
      <c r="C365" s="24" t="s">
        <v>340</v>
      </c>
      <c r="D365" s="27">
        <v>2.0299999999999998</v>
      </c>
      <c r="E365" s="93">
        <f t="shared" ref="E365:E371" si="25">550*(1.184419)</f>
        <v>651.43045000000006</v>
      </c>
      <c r="F365" s="93"/>
      <c r="G365" s="93"/>
      <c r="H365" s="104">
        <f t="shared" si="19"/>
        <v>651.43045000000006</v>
      </c>
      <c r="I365" s="105">
        <f t="shared" si="20"/>
        <v>1322.4038135000001</v>
      </c>
    </row>
    <row r="366" spans="1:9" ht="28.2" thickBot="1" x14ac:dyDescent="0.35">
      <c r="A366" s="23" t="s">
        <v>644</v>
      </c>
      <c r="B366" s="26" t="s">
        <v>645</v>
      </c>
      <c r="C366" s="24" t="s">
        <v>340</v>
      </c>
      <c r="D366" s="27">
        <v>2.62</v>
      </c>
      <c r="E366" s="93">
        <f t="shared" si="25"/>
        <v>651.43045000000006</v>
      </c>
      <c r="F366" s="93"/>
      <c r="G366" s="93"/>
      <c r="H366" s="104">
        <f t="shared" si="19"/>
        <v>651.43045000000006</v>
      </c>
      <c r="I366" s="105">
        <f t="shared" si="20"/>
        <v>1706.7477790000003</v>
      </c>
    </row>
    <row r="367" spans="1:9" ht="28.2" thickBot="1" x14ac:dyDescent="0.35">
      <c r="A367" s="23" t="s">
        <v>646</v>
      </c>
      <c r="B367" s="26" t="s">
        <v>647</v>
      </c>
      <c r="C367" s="24" t="s">
        <v>340</v>
      </c>
      <c r="D367" s="27">
        <v>16</v>
      </c>
      <c r="E367" s="93">
        <f t="shared" si="25"/>
        <v>651.43045000000006</v>
      </c>
      <c r="F367" s="93"/>
      <c r="G367" s="93"/>
      <c r="H367" s="104">
        <f t="shared" si="19"/>
        <v>651.43045000000006</v>
      </c>
      <c r="I367" s="105">
        <f t="shared" si="20"/>
        <v>10422.887200000001</v>
      </c>
    </row>
    <row r="368" spans="1:9" ht="28.2" thickBot="1" x14ac:dyDescent="0.35">
      <c r="A368" s="23" t="s">
        <v>648</v>
      </c>
      <c r="B368" s="26" t="s">
        <v>649</v>
      </c>
      <c r="C368" s="24" t="s">
        <v>340</v>
      </c>
      <c r="D368" s="27">
        <v>32.28</v>
      </c>
      <c r="E368" s="93">
        <f t="shared" si="25"/>
        <v>651.43045000000006</v>
      </c>
      <c r="F368" s="93"/>
      <c r="G368" s="93"/>
      <c r="H368" s="104">
        <f t="shared" si="19"/>
        <v>651.43045000000006</v>
      </c>
      <c r="I368" s="105">
        <f t="shared" si="20"/>
        <v>21028.174926000003</v>
      </c>
    </row>
    <row r="369" spans="1:9" ht="28.2" thickBot="1" x14ac:dyDescent="0.35">
      <c r="A369" s="23" t="s">
        <v>650</v>
      </c>
      <c r="B369" s="26" t="s">
        <v>651</v>
      </c>
      <c r="C369" s="24" t="s">
        <v>340</v>
      </c>
      <c r="D369" s="27">
        <v>5.59</v>
      </c>
      <c r="E369" s="93">
        <f t="shared" si="25"/>
        <v>651.43045000000006</v>
      </c>
      <c r="F369" s="93"/>
      <c r="G369" s="93"/>
      <c r="H369" s="104">
        <f t="shared" si="19"/>
        <v>651.43045000000006</v>
      </c>
      <c r="I369" s="105">
        <f t="shared" si="20"/>
        <v>3641.4962155000003</v>
      </c>
    </row>
    <row r="370" spans="1:9" ht="28.2" thickBot="1" x14ac:dyDescent="0.35">
      <c r="A370" s="23" t="s">
        <v>652</v>
      </c>
      <c r="B370" s="26" t="s">
        <v>653</v>
      </c>
      <c r="C370" s="24" t="s">
        <v>340</v>
      </c>
      <c r="D370" s="27">
        <v>62.81</v>
      </c>
      <c r="E370" s="93">
        <f t="shared" si="25"/>
        <v>651.43045000000006</v>
      </c>
      <c r="F370" s="93"/>
      <c r="G370" s="93"/>
      <c r="H370" s="104">
        <f t="shared" si="19"/>
        <v>651.43045000000006</v>
      </c>
      <c r="I370" s="105">
        <f t="shared" si="20"/>
        <v>40916.346564500003</v>
      </c>
    </row>
    <row r="371" spans="1:9" ht="28.2" thickBot="1" x14ac:dyDescent="0.35">
      <c r="A371" s="23" t="s">
        <v>654</v>
      </c>
      <c r="B371" s="26" t="s">
        <v>655</v>
      </c>
      <c r="C371" s="24" t="s">
        <v>340</v>
      </c>
      <c r="D371" s="27">
        <v>14.34</v>
      </c>
      <c r="E371" s="93">
        <f t="shared" si="25"/>
        <v>651.43045000000006</v>
      </c>
      <c r="F371" s="93"/>
      <c r="G371" s="93"/>
      <c r="H371" s="104">
        <f t="shared" si="19"/>
        <v>651.43045000000006</v>
      </c>
      <c r="I371" s="105">
        <f t="shared" si="20"/>
        <v>9341.5126530000016</v>
      </c>
    </row>
    <row r="372" spans="1:9" ht="15" thickBot="1" x14ac:dyDescent="0.35">
      <c r="A372" s="30"/>
      <c r="B372" s="26"/>
      <c r="C372" s="26"/>
      <c r="D372" s="26"/>
      <c r="E372" s="93"/>
      <c r="F372" s="93"/>
      <c r="G372" s="93"/>
      <c r="H372" s="104"/>
      <c r="I372" s="105"/>
    </row>
    <row r="373" spans="1:9" ht="15" thickBot="1" x14ac:dyDescent="0.35">
      <c r="A373" s="34" t="s">
        <v>656</v>
      </c>
      <c r="B373" s="36" t="s">
        <v>657</v>
      </c>
      <c r="C373" s="35"/>
      <c r="D373" s="35"/>
      <c r="E373" s="35"/>
      <c r="F373" s="35"/>
      <c r="G373" s="35"/>
      <c r="H373" s="35"/>
      <c r="I373" s="117">
        <f>SUM(I374:I379)</f>
        <v>220693.07653056001</v>
      </c>
    </row>
    <row r="374" spans="1:9" ht="55.8" thickBot="1" x14ac:dyDescent="0.35">
      <c r="A374" s="23" t="s">
        <v>658</v>
      </c>
      <c r="B374" s="26" t="s">
        <v>659</v>
      </c>
      <c r="C374" s="24" t="s">
        <v>49</v>
      </c>
      <c r="D374" s="27">
        <v>4</v>
      </c>
      <c r="E374" s="93">
        <f>1394.55*(1.184419)</f>
        <v>1651.7315164500001</v>
      </c>
      <c r="F374" s="93">
        <f>278.85*(1.184419)</f>
        <v>330.27523815000006</v>
      </c>
      <c r="G374" s="93">
        <f>0.71*(1.184419)</f>
        <v>0.84093749000000007</v>
      </c>
      <c r="H374" s="104">
        <f t="shared" si="19"/>
        <v>1982.84769209</v>
      </c>
      <c r="I374" s="105">
        <f t="shared" si="20"/>
        <v>7931.39076836</v>
      </c>
    </row>
    <row r="375" spans="1:9" ht="60" customHeight="1" thickBot="1" x14ac:dyDescent="0.35">
      <c r="A375" s="23" t="s">
        <v>660</v>
      </c>
      <c r="B375" s="26" t="s">
        <v>661</v>
      </c>
      <c r="C375" s="24" t="s">
        <v>49</v>
      </c>
      <c r="D375" s="27">
        <v>1</v>
      </c>
      <c r="E375" s="93">
        <f>2697.1*(1.184419)</f>
        <v>3194.4964849000003</v>
      </c>
      <c r="F375" s="93">
        <f>278.85*(1.184419)</f>
        <v>330.27523815000006</v>
      </c>
      <c r="G375" s="93">
        <f>0.71*(1.184419)</f>
        <v>0.84093749000000007</v>
      </c>
      <c r="H375" s="104">
        <f t="shared" si="19"/>
        <v>3525.6126605400004</v>
      </c>
      <c r="I375" s="105">
        <f t="shared" si="20"/>
        <v>3525.6126605400004</v>
      </c>
    </row>
    <row r="376" spans="1:9" ht="42" thickBot="1" x14ac:dyDescent="0.35">
      <c r="A376" s="23" t="s">
        <v>662</v>
      </c>
      <c r="B376" s="26" t="s">
        <v>663</v>
      </c>
      <c r="C376" s="24" t="s">
        <v>49</v>
      </c>
      <c r="D376" s="27">
        <v>1</v>
      </c>
      <c r="E376" s="93">
        <f>3147.6*(1.184419)</f>
        <v>3728.0772444000004</v>
      </c>
      <c r="F376" s="93"/>
      <c r="G376" s="93"/>
      <c r="H376" s="104">
        <f t="shared" si="19"/>
        <v>3728.0772444000004</v>
      </c>
      <c r="I376" s="105">
        <f t="shared" si="20"/>
        <v>3728.0772444000004</v>
      </c>
    </row>
    <row r="377" spans="1:9" ht="96.6" thickBot="1" x14ac:dyDescent="0.35">
      <c r="A377" s="23" t="s">
        <v>664</v>
      </c>
      <c r="B377" s="94" t="s">
        <v>665</v>
      </c>
      <c r="C377" s="24" t="s">
        <v>49</v>
      </c>
      <c r="D377" s="32">
        <v>1</v>
      </c>
      <c r="E377" s="93">
        <f>9337.5*(1.184419)</f>
        <v>11059.5124125</v>
      </c>
      <c r="F377" s="93"/>
      <c r="G377" s="93"/>
      <c r="H377" s="104">
        <f t="shared" si="19"/>
        <v>11059.5124125</v>
      </c>
      <c r="I377" s="105">
        <f t="shared" si="20"/>
        <v>11059.5124125</v>
      </c>
    </row>
    <row r="378" spans="1:9" ht="15" thickBot="1" x14ac:dyDescent="0.35">
      <c r="A378" s="23" t="s">
        <v>666</v>
      </c>
      <c r="B378" s="26" t="s">
        <v>667</v>
      </c>
      <c r="C378" s="24" t="s">
        <v>66</v>
      </c>
      <c r="D378" s="27">
        <v>3.08</v>
      </c>
      <c r="E378" s="93">
        <f>1049.55*(1.184419)</f>
        <v>1243.10696145</v>
      </c>
      <c r="F378" s="93">
        <f>82.02*(1.184419)</f>
        <v>97.146046380000001</v>
      </c>
      <c r="G378" s="93"/>
      <c r="H378" s="104">
        <f t="shared" si="19"/>
        <v>1340.2530078299999</v>
      </c>
      <c r="I378" s="105">
        <f t="shared" si="20"/>
        <v>4127.9792641163995</v>
      </c>
    </row>
    <row r="379" spans="1:9" ht="28.2" thickBot="1" x14ac:dyDescent="0.35">
      <c r="A379" s="23" t="s">
        <v>668</v>
      </c>
      <c r="B379" s="26" t="s">
        <v>669</v>
      </c>
      <c r="C379" s="24" t="s">
        <v>135</v>
      </c>
      <c r="D379" s="27">
        <v>166.52</v>
      </c>
      <c r="E379" s="93">
        <f>913.23*(1.184419)</f>
        <v>1081.6469633700001</v>
      </c>
      <c r="F379" s="93">
        <f>51.74*(1.184419)</f>
        <v>61.28183906000001</v>
      </c>
      <c r="G379" s="93"/>
      <c r="H379" s="104">
        <f t="shared" si="19"/>
        <v>1142.9288024300001</v>
      </c>
      <c r="I379" s="105">
        <f t="shared" si="20"/>
        <v>190320.50418064362</v>
      </c>
    </row>
    <row r="380" spans="1:9" ht="15" thickBot="1" x14ac:dyDescent="0.35">
      <c r="A380" s="30"/>
      <c r="B380" s="26"/>
      <c r="C380" s="26"/>
      <c r="D380" s="26"/>
      <c r="E380" s="93"/>
      <c r="F380" s="93"/>
      <c r="G380" s="93"/>
      <c r="H380" s="104">
        <f t="shared" si="19"/>
        <v>0</v>
      </c>
      <c r="I380" s="105">
        <f t="shared" si="20"/>
        <v>0</v>
      </c>
    </row>
    <row r="381" spans="1:9" ht="15" thickBot="1" x14ac:dyDescent="0.35">
      <c r="A381" s="34" t="s">
        <v>670</v>
      </c>
      <c r="B381" s="36" t="s">
        <v>671</v>
      </c>
      <c r="C381" s="35"/>
      <c r="D381" s="35"/>
      <c r="E381" s="35"/>
      <c r="F381" s="35"/>
      <c r="G381" s="35"/>
      <c r="H381" s="35"/>
      <c r="I381" s="117">
        <f>SUM(I382:I410)</f>
        <v>327268.39745820314</v>
      </c>
    </row>
    <row r="382" spans="1:9" ht="15" thickBot="1" x14ac:dyDescent="0.35">
      <c r="A382" s="23" t="s">
        <v>672</v>
      </c>
      <c r="B382" s="26" t="s">
        <v>673</v>
      </c>
      <c r="C382" s="24" t="s">
        <v>49</v>
      </c>
      <c r="D382" s="27">
        <v>1</v>
      </c>
      <c r="E382" s="93">
        <f>9995.22*(1.184419)</f>
        <v>11838.52847718</v>
      </c>
      <c r="F382" s="93"/>
      <c r="G382" s="93"/>
      <c r="H382" s="104">
        <f t="shared" si="19"/>
        <v>11838.52847718</v>
      </c>
      <c r="I382" s="105">
        <f t="shared" si="20"/>
        <v>11838.52847718</v>
      </c>
    </row>
    <row r="383" spans="1:9" ht="28.2" thickBot="1" x14ac:dyDescent="0.35">
      <c r="A383" s="23" t="s">
        <v>674</v>
      </c>
      <c r="B383" s="26" t="s">
        <v>675</v>
      </c>
      <c r="C383" s="24" t="s">
        <v>49</v>
      </c>
      <c r="D383" s="27">
        <v>2</v>
      </c>
      <c r="E383" s="93">
        <f>1212.15*(1.184419)</f>
        <v>1435.6934908500002</v>
      </c>
      <c r="F383" s="93"/>
      <c r="G383" s="93"/>
      <c r="H383" s="104">
        <f t="shared" si="19"/>
        <v>1435.6934908500002</v>
      </c>
      <c r="I383" s="105">
        <f t="shared" si="20"/>
        <v>2871.3869817000004</v>
      </c>
    </row>
    <row r="384" spans="1:9" ht="42" thickBot="1" x14ac:dyDescent="0.35">
      <c r="A384" s="23" t="s">
        <v>676</v>
      </c>
      <c r="B384" s="26" t="s">
        <v>677</v>
      </c>
      <c r="C384" s="24" t="s">
        <v>49</v>
      </c>
      <c r="D384" s="27">
        <v>1</v>
      </c>
      <c r="E384" s="93">
        <f>643.18*(1.184419)</f>
        <v>761.79461242000002</v>
      </c>
      <c r="F384" s="93"/>
      <c r="G384" s="93"/>
      <c r="H384" s="104">
        <f t="shared" si="19"/>
        <v>761.79461242000002</v>
      </c>
      <c r="I384" s="105">
        <f t="shared" si="20"/>
        <v>761.79461242000002</v>
      </c>
    </row>
    <row r="385" spans="1:9" ht="28.2" thickBot="1" x14ac:dyDescent="0.35">
      <c r="A385" s="23" t="s">
        <v>678</v>
      </c>
      <c r="B385" s="26" t="s">
        <v>679</v>
      </c>
      <c r="C385" s="24" t="s">
        <v>49</v>
      </c>
      <c r="D385" s="27">
        <v>1</v>
      </c>
      <c r="E385" s="93">
        <f>52536.52*(1.184419)</f>
        <v>62225.252481880001</v>
      </c>
      <c r="F385" s="93"/>
      <c r="G385" s="93"/>
      <c r="H385" s="104">
        <f t="shared" si="19"/>
        <v>62225.252481880001</v>
      </c>
      <c r="I385" s="105">
        <f t="shared" si="20"/>
        <v>62225.252481880001</v>
      </c>
    </row>
    <row r="386" spans="1:9" ht="28.2" thickBot="1" x14ac:dyDescent="0.35">
      <c r="A386" s="23" t="s">
        <v>680</v>
      </c>
      <c r="B386" s="26" t="s">
        <v>681</v>
      </c>
      <c r="C386" s="24" t="s">
        <v>49</v>
      </c>
      <c r="D386" s="27">
        <v>1</v>
      </c>
      <c r="E386" s="93">
        <f>5402.49*(1.184419)</f>
        <v>6398.81180331</v>
      </c>
      <c r="F386" s="93"/>
      <c r="G386" s="93"/>
      <c r="H386" s="104">
        <f t="shared" si="19"/>
        <v>6398.81180331</v>
      </c>
      <c r="I386" s="105">
        <f t="shared" si="20"/>
        <v>6398.81180331</v>
      </c>
    </row>
    <row r="387" spans="1:9" ht="15" thickBot="1" x14ac:dyDescent="0.35">
      <c r="A387" s="23" t="s">
        <v>682</v>
      </c>
      <c r="B387" s="26" t="s">
        <v>683</v>
      </c>
      <c r="C387" s="24" t="s">
        <v>49</v>
      </c>
      <c r="D387" s="27">
        <v>1</v>
      </c>
      <c r="E387" s="93">
        <f>17016.29*(1.184419)</f>
        <v>20154.417185510003</v>
      </c>
      <c r="F387" s="93"/>
      <c r="G387" s="93"/>
      <c r="H387" s="104">
        <f t="shared" si="19"/>
        <v>20154.417185510003</v>
      </c>
      <c r="I387" s="105">
        <f t="shared" si="20"/>
        <v>20154.417185510003</v>
      </c>
    </row>
    <row r="388" spans="1:9" ht="28.2" thickBot="1" x14ac:dyDescent="0.35">
      <c r="A388" s="23" t="s">
        <v>684</v>
      </c>
      <c r="B388" s="26" t="s">
        <v>685</v>
      </c>
      <c r="C388" s="24" t="s">
        <v>49</v>
      </c>
      <c r="D388" s="27">
        <v>2</v>
      </c>
      <c r="E388" s="93">
        <f>2938.25*(1.184419)</f>
        <v>3480.1191267500003</v>
      </c>
      <c r="F388" s="93"/>
      <c r="G388" s="93"/>
      <c r="H388" s="104">
        <f t="shared" si="19"/>
        <v>3480.1191267500003</v>
      </c>
      <c r="I388" s="105">
        <f t="shared" si="20"/>
        <v>6960.2382535000006</v>
      </c>
    </row>
    <row r="389" spans="1:9" ht="15" thickBot="1" x14ac:dyDescent="0.35">
      <c r="A389" s="23" t="s">
        <v>686</v>
      </c>
      <c r="B389" s="26" t="s">
        <v>687</v>
      </c>
      <c r="C389" s="24" t="s">
        <v>49</v>
      </c>
      <c r="D389" s="27">
        <v>1</v>
      </c>
      <c r="E389" s="93">
        <f>12947.71*(1.184419)</f>
        <v>15335.51373049</v>
      </c>
      <c r="F389" s="93"/>
      <c r="G389" s="93"/>
      <c r="H389" s="104">
        <f t="shared" si="19"/>
        <v>15335.51373049</v>
      </c>
      <c r="I389" s="105">
        <f t="shared" si="20"/>
        <v>15335.51373049</v>
      </c>
    </row>
    <row r="390" spans="1:9" ht="28.2" thickBot="1" x14ac:dyDescent="0.35">
      <c r="A390" s="23" t="s">
        <v>688</v>
      </c>
      <c r="B390" s="26" t="s">
        <v>675</v>
      </c>
      <c r="C390" s="24" t="s">
        <v>49</v>
      </c>
      <c r="D390" s="27">
        <v>5</v>
      </c>
      <c r="E390" s="93">
        <f>1158.42*(1.184419)</f>
        <v>1372.0546579800002</v>
      </c>
      <c r="F390" s="93"/>
      <c r="G390" s="93"/>
      <c r="H390" s="104">
        <f t="shared" si="19"/>
        <v>1372.0546579800002</v>
      </c>
      <c r="I390" s="105">
        <f t="shared" si="20"/>
        <v>6860.2732899000011</v>
      </c>
    </row>
    <row r="391" spans="1:9" ht="15" thickBot="1" x14ac:dyDescent="0.35">
      <c r="A391" s="23" t="s">
        <v>689</v>
      </c>
      <c r="B391" s="26" t="s">
        <v>690</v>
      </c>
      <c r="C391" s="24" t="s">
        <v>49</v>
      </c>
      <c r="D391" s="27">
        <v>1</v>
      </c>
      <c r="E391" s="93">
        <f>7968.96*(1.184419)</f>
        <v>9438.5876342400006</v>
      </c>
      <c r="F391" s="93"/>
      <c r="G391" s="93"/>
      <c r="H391" s="104">
        <f t="shared" si="19"/>
        <v>9438.5876342400006</v>
      </c>
      <c r="I391" s="105">
        <f t="shared" si="20"/>
        <v>9438.5876342400006</v>
      </c>
    </row>
    <row r="392" spans="1:9" ht="15" thickBot="1" x14ac:dyDescent="0.35">
      <c r="A392" s="23" t="s">
        <v>691</v>
      </c>
      <c r="B392" s="26" t="s">
        <v>692</v>
      </c>
      <c r="C392" s="24" t="s">
        <v>49</v>
      </c>
      <c r="D392" s="27">
        <v>1</v>
      </c>
      <c r="E392" s="93">
        <f>3865.39*(1.184419)</f>
        <v>4578.2413584100004</v>
      </c>
      <c r="F392" s="93"/>
      <c r="G392" s="93"/>
      <c r="H392" s="104">
        <f t="shared" ref="H392:H455" si="26">E392+F392+G392</f>
        <v>4578.2413584100004</v>
      </c>
      <c r="I392" s="105">
        <f t="shared" ref="I392:I455" si="27">H392*D392</f>
        <v>4578.2413584100004</v>
      </c>
    </row>
    <row r="393" spans="1:9" ht="28.2" thickBot="1" x14ac:dyDescent="0.35">
      <c r="A393" s="23" t="s">
        <v>693</v>
      </c>
      <c r="B393" s="26" t="s">
        <v>1975</v>
      </c>
      <c r="C393" s="24" t="s">
        <v>49</v>
      </c>
      <c r="D393" s="27">
        <v>1.35</v>
      </c>
      <c r="E393" s="93">
        <f>293.91*(1.184419)</f>
        <v>348.11258829000008</v>
      </c>
      <c r="F393" s="93"/>
      <c r="G393" s="93"/>
      <c r="H393" s="104">
        <f t="shared" si="26"/>
        <v>348.11258829000008</v>
      </c>
      <c r="I393" s="105">
        <f t="shared" si="27"/>
        <v>469.95199419150015</v>
      </c>
    </row>
    <row r="394" spans="1:9" ht="28.2" thickBot="1" x14ac:dyDescent="0.35">
      <c r="A394" s="23" t="s">
        <v>694</v>
      </c>
      <c r="B394" s="26" t="s">
        <v>1975</v>
      </c>
      <c r="C394" s="24" t="s">
        <v>49</v>
      </c>
      <c r="D394" s="27">
        <v>1.35</v>
      </c>
      <c r="E394" s="93">
        <f>293.91*(1.184419)</f>
        <v>348.11258829000008</v>
      </c>
      <c r="F394" s="93"/>
      <c r="G394" s="93"/>
      <c r="H394" s="104">
        <f t="shared" si="26"/>
        <v>348.11258829000008</v>
      </c>
      <c r="I394" s="105">
        <f t="shared" si="27"/>
        <v>469.95199419150015</v>
      </c>
    </row>
    <row r="395" spans="1:9" ht="28.2" thickBot="1" x14ac:dyDescent="0.35">
      <c r="A395" s="23" t="s">
        <v>695</v>
      </c>
      <c r="B395" s="26" t="s">
        <v>685</v>
      </c>
      <c r="C395" s="24" t="s">
        <v>49</v>
      </c>
      <c r="D395" s="27">
        <v>1</v>
      </c>
      <c r="E395" s="93">
        <f>2938.26*(1.184419)</f>
        <v>3480.1309709400007</v>
      </c>
      <c r="F395" s="93"/>
      <c r="G395" s="93"/>
      <c r="H395" s="104">
        <f t="shared" si="26"/>
        <v>3480.1309709400007</v>
      </c>
      <c r="I395" s="105">
        <f t="shared" si="27"/>
        <v>3480.1309709400007</v>
      </c>
    </row>
    <row r="396" spans="1:9" ht="15" thickBot="1" x14ac:dyDescent="0.35">
      <c r="A396" s="23" t="s">
        <v>696</v>
      </c>
      <c r="B396" s="26" t="s">
        <v>697</v>
      </c>
      <c r="C396" s="24" t="s">
        <v>49</v>
      </c>
      <c r="D396" s="27">
        <v>1</v>
      </c>
      <c r="E396" s="93">
        <f>7521.96*(1.184419)</f>
        <v>8909.1523412400002</v>
      </c>
      <c r="F396" s="93"/>
      <c r="G396" s="93"/>
      <c r="H396" s="104">
        <f t="shared" si="26"/>
        <v>8909.1523412400002</v>
      </c>
      <c r="I396" s="105">
        <f t="shared" si="27"/>
        <v>8909.1523412400002</v>
      </c>
    </row>
    <row r="397" spans="1:9" ht="28.2" thickBot="1" x14ac:dyDescent="0.35">
      <c r="A397" s="23" t="s">
        <v>698</v>
      </c>
      <c r="B397" s="26" t="s">
        <v>675</v>
      </c>
      <c r="C397" s="24" t="s">
        <v>49</v>
      </c>
      <c r="D397" s="27">
        <v>3</v>
      </c>
      <c r="E397" s="93">
        <f>1158.42*(1.184419)</f>
        <v>1372.0546579800002</v>
      </c>
      <c r="F397" s="93"/>
      <c r="G397" s="93"/>
      <c r="H397" s="104">
        <f t="shared" si="26"/>
        <v>1372.0546579800002</v>
      </c>
      <c r="I397" s="105">
        <f t="shared" si="27"/>
        <v>4116.1639739400007</v>
      </c>
    </row>
    <row r="398" spans="1:9" ht="15" thickBot="1" x14ac:dyDescent="0.35">
      <c r="A398" s="23" t="s">
        <v>699</v>
      </c>
      <c r="B398" s="26" t="s">
        <v>700</v>
      </c>
      <c r="C398" s="24" t="s">
        <v>49</v>
      </c>
      <c r="D398" s="27">
        <v>1</v>
      </c>
      <c r="E398" s="93">
        <f>14261.26*(1.184419)</f>
        <v>16891.307307940002</v>
      </c>
      <c r="F398" s="93"/>
      <c r="G398" s="93"/>
      <c r="H398" s="104">
        <f t="shared" si="26"/>
        <v>16891.307307940002</v>
      </c>
      <c r="I398" s="105">
        <f t="shared" si="27"/>
        <v>16891.307307940002</v>
      </c>
    </row>
    <row r="399" spans="1:9" ht="28.2" thickBot="1" x14ac:dyDescent="0.35">
      <c r="A399" s="23" t="s">
        <v>701</v>
      </c>
      <c r="B399" s="26" t="s">
        <v>675</v>
      </c>
      <c r="C399" s="24" t="s">
        <v>49</v>
      </c>
      <c r="D399" s="27">
        <v>6</v>
      </c>
      <c r="E399" s="93">
        <f>1170.35*(1.184419)</f>
        <v>1386.18477665</v>
      </c>
      <c r="F399" s="93"/>
      <c r="G399" s="93"/>
      <c r="H399" s="104">
        <f t="shared" si="26"/>
        <v>1386.18477665</v>
      </c>
      <c r="I399" s="105">
        <f t="shared" si="27"/>
        <v>8317.1086599000009</v>
      </c>
    </row>
    <row r="400" spans="1:9" ht="28.2" thickBot="1" x14ac:dyDescent="0.35">
      <c r="A400" s="23" t="s">
        <v>702</v>
      </c>
      <c r="B400" s="26" t="s">
        <v>685</v>
      </c>
      <c r="C400" s="24" t="s">
        <v>49</v>
      </c>
      <c r="D400" s="27">
        <v>2</v>
      </c>
      <c r="E400" s="93">
        <f>2938.25*(1.184419)</f>
        <v>3480.1191267500003</v>
      </c>
      <c r="F400" s="93"/>
      <c r="G400" s="93"/>
      <c r="H400" s="104">
        <f t="shared" si="26"/>
        <v>3480.1191267500003</v>
      </c>
      <c r="I400" s="105">
        <f t="shared" si="27"/>
        <v>6960.2382535000006</v>
      </c>
    </row>
    <row r="401" spans="1:9" ht="15" thickBot="1" x14ac:dyDescent="0.35">
      <c r="A401" s="23" t="s">
        <v>703</v>
      </c>
      <c r="B401" s="26" t="s">
        <v>704</v>
      </c>
      <c r="C401" s="24" t="s">
        <v>49</v>
      </c>
      <c r="D401" s="27">
        <v>1</v>
      </c>
      <c r="E401" s="93">
        <f>8609.83*(1.184419)</f>
        <v>10197.646238770001</v>
      </c>
      <c r="F401" s="93"/>
      <c r="G401" s="93"/>
      <c r="H401" s="104">
        <f t="shared" si="26"/>
        <v>10197.646238770001</v>
      </c>
      <c r="I401" s="105">
        <f t="shared" si="27"/>
        <v>10197.646238770001</v>
      </c>
    </row>
    <row r="402" spans="1:9" ht="28.2" thickBot="1" x14ac:dyDescent="0.35">
      <c r="A402" s="23" t="s">
        <v>705</v>
      </c>
      <c r="B402" s="26" t="s">
        <v>685</v>
      </c>
      <c r="C402" s="24" t="s">
        <v>49</v>
      </c>
      <c r="D402" s="27">
        <v>3</v>
      </c>
      <c r="E402" s="93">
        <f>2938.25*(1.184419)</f>
        <v>3480.1191267500003</v>
      </c>
      <c r="F402" s="93"/>
      <c r="G402" s="93"/>
      <c r="H402" s="104">
        <f t="shared" si="26"/>
        <v>3480.1191267500003</v>
      </c>
      <c r="I402" s="105">
        <f t="shared" si="27"/>
        <v>10440.357380250001</v>
      </c>
    </row>
    <row r="403" spans="1:9" ht="15" thickBot="1" x14ac:dyDescent="0.35">
      <c r="A403" s="23" t="s">
        <v>706</v>
      </c>
      <c r="B403" s="26" t="s">
        <v>707</v>
      </c>
      <c r="C403" s="24" t="s">
        <v>49</v>
      </c>
      <c r="D403" s="27">
        <v>1</v>
      </c>
      <c r="E403" s="93">
        <f>4085.28*(1.184419)</f>
        <v>4838.683252320001</v>
      </c>
      <c r="F403" s="93"/>
      <c r="G403" s="93"/>
      <c r="H403" s="104">
        <f t="shared" si="26"/>
        <v>4838.683252320001</v>
      </c>
      <c r="I403" s="105">
        <f t="shared" si="27"/>
        <v>4838.683252320001</v>
      </c>
    </row>
    <row r="404" spans="1:9" ht="28.2" thickBot="1" x14ac:dyDescent="0.35">
      <c r="A404" s="23" t="s">
        <v>708</v>
      </c>
      <c r="B404" s="26" t="s">
        <v>675</v>
      </c>
      <c r="C404" s="24" t="s">
        <v>49</v>
      </c>
      <c r="D404" s="27">
        <v>1</v>
      </c>
      <c r="E404" s="93">
        <f>1158.42*(1.184419)</f>
        <v>1372.0546579800002</v>
      </c>
      <c r="F404" s="93"/>
      <c r="G404" s="93"/>
      <c r="H404" s="104">
        <f t="shared" si="26"/>
        <v>1372.0546579800002</v>
      </c>
      <c r="I404" s="105">
        <f t="shared" si="27"/>
        <v>1372.0546579800002</v>
      </c>
    </row>
    <row r="405" spans="1:9" ht="28.2" thickBot="1" x14ac:dyDescent="0.35">
      <c r="A405" s="23" t="s">
        <v>709</v>
      </c>
      <c r="B405" s="26" t="s">
        <v>1976</v>
      </c>
      <c r="C405" s="24" t="s">
        <v>49</v>
      </c>
      <c r="D405" s="27">
        <v>1</v>
      </c>
      <c r="E405" s="93">
        <f>643.18*(1.184419)</f>
        <v>761.79461242000002</v>
      </c>
      <c r="F405" s="93"/>
      <c r="G405" s="93"/>
      <c r="H405" s="104">
        <f t="shared" si="26"/>
        <v>761.79461242000002</v>
      </c>
      <c r="I405" s="105">
        <f t="shared" si="27"/>
        <v>761.79461242000002</v>
      </c>
    </row>
    <row r="406" spans="1:9" ht="15" thickBot="1" x14ac:dyDescent="0.35">
      <c r="A406" s="23" t="s">
        <v>710</v>
      </c>
      <c r="B406" s="26" t="s">
        <v>1977</v>
      </c>
      <c r="C406" s="24" t="s">
        <v>49</v>
      </c>
      <c r="D406" s="27">
        <v>1</v>
      </c>
      <c r="E406" s="93">
        <f>11580.4*(1.184419)</f>
        <v>13716.0457876</v>
      </c>
      <c r="F406" s="93"/>
      <c r="G406" s="93"/>
      <c r="H406" s="104">
        <f t="shared" si="26"/>
        <v>13716.0457876</v>
      </c>
      <c r="I406" s="105">
        <f t="shared" si="27"/>
        <v>13716.0457876</v>
      </c>
    </row>
    <row r="407" spans="1:9" ht="15" thickBot="1" x14ac:dyDescent="0.35">
      <c r="A407" s="23" t="s">
        <v>711</v>
      </c>
      <c r="B407" s="26" t="s">
        <v>1978</v>
      </c>
      <c r="C407" s="24" t="s">
        <v>49</v>
      </c>
      <c r="D407" s="27">
        <v>1</v>
      </c>
      <c r="E407" s="93">
        <f>52536.52*(1.184419)</f>
        <v>62225.252481880001</v>
      </c>
      <c r="F407" s="93"/>
      <c r="G407" s="93"/>
      <c r="H407" s="104">
        <f t="shared" si="26"/>
        <v>62225.252481880001</v>
      </c>
      <c r="I407" s="105">
        <f t="shared" si="27"/>
        <v>62225.252481880001</v>
      </c>
    </row>
    <row r="408" spans="1:9" ht="28.2" thickBot="1" x14ac:dyDescent="0.35">
      <c r="A408" s="23" t="s">
        <v>712</v>
      </c>
      <c r="B408" s="26" t="s">
        <v>681</v>
      </c>
      <c r="C408" s="24" t="s">
        <v>49</v>
      </c>
      <c r="D408" s="27">
        <v>1</v>
      </c>
      <c r="E408" s="93">
        <f>5402.49*(1.184419)</f>
        <v>6398.81180331</v>
      </c>
      <c r="F408" s="93"/>
      <c r="G408" s="93"/>
      <c r="H408" s="104">
        <f t="shared" si="26"/>
        <v>6398.81180331</v>
      </c>
      <c r="I408" s="105">
        <f t="shared" si="27"/>
        <v>6398.81180331</v>
      </c>
    </row>
    <row r="409" spans="1:9" ht="15" thickBot="1" x14ac:dyDescent="0.35">
      <c r="A409" s="23" t="s">
        <v>713</v>
      </c>
      <c r="B409" s="26" t="s">
        <v>714</v>
      </c>
      <c r="C409" s="24" t="s">
        <v>49</v>
      </c>
      <c r="D409" s="27">
        <v>1</v>
      </c>
      <c r="E409" s="93">
        <f>10731.59*(1.184419)</f>
        <v>12710.699096210001</v>
      </c>
      <c r="F409" s="93"/>
      <c r="G409" s="93"/>
      <c r="H409" s="104">
        <f t="shared" si="26"/>
        <v>12710.699096210001</v>
      </c>
      <c r="I409" s="105">
        <f t="shared" si="27"/>
        <v>12710.699096210001</v>
      </c>
    </row>
    <row r="410" spans="1:9" ht="15" thickBot="1" x14ac:dyDescent="0.35">
      <c r="A410" s="23" t="s">
        <v>715</v>
      </c>
      <c r="B410" s="26" t="s">
        <v>716</v>
      </c>
      <c r="C410" s="24" t="s">
        <v>49</v>
      </c>
      <c r="D410" s="27">
        <v>1</v>
      </c>
      <c r="E410" s="93">
        <f>6391.32*(1.184419)</f>
        <v>7570.0008430800008</v>
      </c>
      <c r="F410" s="93"/>
      <c r="G410" s="93"/>
      <c r="H410" s="104">
        <f t="shared" si="26"/>
        <v>7570.0008430800008</v>
      </c>
      <c r="I410" s="105">
        <f t="shared" si="27"/>
        <v>7570.0008430800008</v>
      </c>
    </row>
    <row r="411" spans="1:9" ht="15" thickBot="1" x14ac:dyDescent="0.35">
      <c r="A411" s="30"/>
      <c r="B411" s="26"/>
      <c r="C411" s="26"/>
      <c r="D411" s="26"/>
      <c r="E411" s="93"/>
      <c r="F411" s="93"/>
      <c r="G411" s="93"/>
      <c r="H411" s="104"/>
      <c r="I411" s="105"/>
    </row>
    <row r="412" spans="1:9" ht="15" thickBot="1" x14ac:dyDescent="0.35">
      <c r="A412" s="18" t="s">
        <v>717</v>
      </c>
      <c r="B412" s="20" t="s">
        <v>718</v>
      </c>
      <c r="C412" s="19"/>
      <c r="D412" s="19"/>
      <c r="E412" s="19"/>
      <c r="F412" s="19"/>
      <c r="G412" s="19"/>
      <c r="H412" s="19"/>
      <c r="I412" s="19"/>
    </row>
    <row r="413" spans="1:9" ht="15" thickBot="1" x14ac:dyDescent="0.35">
      <c r="A413" s="30"/>
      <c r="B413" s="26"/>
      <c r="C413" s="26"/>
      <c r="D413" s="26"/>
      <c r="E413" s="26"/>
      <c r="F413" s="26"/>
      <c r="G413" s="26"/>
      <c r="H413" s="26"/>
      <c r="I413" s="26"/>
    </row>
    <row r="414" spans="1:9" ht="15" thickBot="1" x14ac:dyDescent="0.35">
      <c r="A414" s="18" t="s">
        <v>719</v>
      </c>
      <c r="B414" s="20" t="s">
        <v>720</v>
      </c>
      <c r="C414" s="19"/>
      <c r="D414" s="19"/>
      <c r="E414" s="19"/>
      <c r="F414" s="19"/>
      <c r="G414" s="19"/>
      <c r="H414" s="19"/>
      <c r="I414" s="115">
        <f>I415+I424+I466+I513+I519+I528+I545+I556+I575+I615+I636</f>
        <v>1208885.6617248999</v>
      </c>
    </row>
    <row r="415" spans="1:9" ht="15" thickBot="1" x14ac:dyDescent="0.35">
      <c r="A415" s="34" t="s">
        <v>721</v>
      </c>
      <c r="B415" s="36" t="s">
        <v>722</v>
      </c>
      <c r="C415" s="35"/>
      <c r="D415" s="35"/>
      <c r="E415" s="35"/>
      <c r="F415" s="35"/>
      <c r="G415" s="35"/>
      <c r="H415" s="35"/>
      <c r="I415" s="117">
        <f>SUM(I416:I422)</f>
        <v>75782.870384039983</v>
      </c>
    </row>
    <row r="416" spans="1:9" ht="15" thickBot="1" x14ac:dyDescent="0.35">
      <c r="A416" s="23" t="s">
        <v>723</v>
      </c>
      <c r="B416" s="26" t="s">
        <v>724</v>
      </c>
      <c r="C416" s="24" t="s">
        <v>49</v>
      </c>
      <c r="D416" s="27">
        <v>70</v>
      </c>
      <c r="E416" s="93">
        <f>599.05*(1.184419)</f>
        <v>709.52620194999997</v>
      </c>
      <c r="F416" s="93"/>
      <c r="G416" s="93"/>
      <c r="H416" s="104">
        <f t="shared" si="26"/>
        <v>709.52620194999997</v>
      </c>
      <c r="I416" s="105">
        <f t="shared" si="27"/>
        <v>49666.834136500001</v>
      </c>
    </row>
    <row r="417" spans="1:9" ht="15" thickBot="1" x14ac:dyDescent="0.35">
      <c r="A417" s="23" t="s">
        <v>725</v>
      </c>
      <c r="B417" s="26" t="s">
        <v>726</v>
      </c>
      <c r="C417" s="24" t="s">
        <v>49</v>
      </c>
      <c r="D417" s="27">
        <v>4</v>
      </c>
      <c r="E417" s="93">
        <f>238.32*(1.184419)</f>
        <v>282.27073608000001</v>
      </c>
      <c r="F417" s="93"/>
      <c r="G417" s="93"/>
      <c r="H417" s="104">
        <f t="shared" si="26"/>
        <v>282.27073608000001</v>
      </c>
      <c r="I417" s="105">
        <f t="shared" si="27"/>
        <v>1129.08294432</v>
      </c>
    </row>
    <row r="418" spans="1:9" ht="15" thickBot="1" x14ac:dyDescent="0.35">
      <c r="A418" s="23" t="s">
        <v>727</v>
      </c>
      <c r="B418" s="26" t="s">
        <v>728</v>
      </c>
      <c r="C418" s="24" t="s">
        <v>49</v>
      </c>
      <c r="D418" s="27">
        <v>50</v>
      </c>
      <c r="E418" s="93">
        <f>272.61*(1.184419)</f>
        <v>322.88446359000005</v>
      </c>
      <c r="F418" s="93"/>
      <c r="G418" s="93"/>
      <c r="H418" s="104">
        <f t="shared" si="26"/>
        <v>322.88446359000005</v>
      </c>
      <c r="I418" s="105">
        <f t="shared" si="27"/>
        <v>16144.223179500003</v>
      </c>
    </row>
    <row r="419" spans="1:9" ht="15" thickBot="1" x14ac:dyDescent="0.35">
      <c r="A419" s="23" t="s">
        <v>729</v>
      </c>
      <c r="B419" s="26" t="s">
        <v>730</v>
      </c>
      <c r="C419" s="24" t="s">
        <v>49</v>
      </c>
      <c r="D419" s="27">
        <v>10</v>
      </c>
      <c r="E419" s="93">
        <f>293.69*(1.184419)</f>
        <v>347.85201611000002</v>
      </c>
      <c r="F419" s="93"/>
      <c r="G419" s="93"/>
      <c r="H419" s="104">
        <f t="shared" si="26"/>
        <v>347.85201611000002</v>
      </c>
      <c r="I419" s="105">
        <f t="shared" si="27"/>
        <v>3478.5201611000002</v>
      </c>
    </row>
    <row r="420" spans="1:9" ht="15" thickBot="1" x14ac:dyDescent="0.35">
      <c r="A420" s="23" t="s">
        <v>731</v>
      </c>
      <c r="B420" s="26" t="s">
        <v>732</v>
      </c>
      <c r="C420" s="24" t="s">
        <v>49</v>
      </c>
      <c r="D420" s="27">
        <v>10</v>
      </c>
      <c r="E420" s="93">
        <f>84.23*(1.184419)</f>
        <v>99.763612370000018</v>
      </c>
      <c r="F420" s="93"/>
      <c r="G420" s="93"/>
      <c r="H420" s="104">
        <f t="shared" si="26"/>
        <v>99.763612370000018</v>
      </c>
      <c r="I420" s="105">
        <f t="shared" si="27"/>
        <v>997.63612370000021</v>
      </c>
    </row>
    <row r="421" spans="1:9" ht="15" thickBot="1" x14ac:dyDescent="0.35">
      <c r="A421" s="23" t="s">
        <v>733</v>
      </c>
      <c r="B421" s="26" t="s">
        <v>732</v>
      </c>
      <c r="C421" s="24" t="s">
        <v>49</v>
      </c>
      <c r="D421" s="27">
        <v>2</v>
      </c>
      <c r="E421" s="93">
        <f>282.6*(1.184419)</f>
        <v>334.71680940000005</v>
      </c>
      <c r="F421" s="93"/>
      <c r="G421" s="93"/>
      <c r="H421" s="104">
        <f t="shared" si="26"/>
        <v>334.71680940000005</v>
      </c>
      <c r="I421" s="105">
        <f t="shared" si="27"/>
        <v>669.43361880000009</v>
      </c>
    </row>
    <row r="422" spans="1:9" ht="15" thickBot="1" x14ac:dyDescent="0.35">
      <c r="A422" s="23" t="s">
        <v>734</v>
      </c>
      <c r="B422" s="26" t="s">
        <v>735</v>
      </c>
      <c r="C422" s="24" t="s">
        <v>49</v>
      </c>
      <c r="D422" s="27">
        <v>146</v>
      </c>
      <c r="E422" s="93">
        <f>4.29*(1.184419)</f>
        <v>5.0811575100000006</v>
      </c>
      <c r="F422" s="93">
        <f>15.73*(1.184419)</f>
        <v>18.630910870000001</v>
      </c>
      <c r="G422" s="93">
        <f>1.36*(1.184419)</f>
        <v>1.6108098400000002</v>
      </c>
      <c r="H422" s="104">
        <f t="shared" si="26"/>
        <v>25.322878220000003</v>
      </c>
      <c r="I422" s="105">
        <f t="shared" si="27"/>
        <v>3697.1402201200003</v>
      </c>
    </row>
    <row r="423" spans="1:9" ht="15" thickBot="1" x14ac:dyDescent="0.35">
      <c r="A423" s="30"/>
      <c r="B423" s="26"/>
      <c r="C423" s="26"/>
      <c r="D423" s="26"/>
      <c r="E423" s="93"/>
      <c r="F423" s="93"/>
      <c r="G423" s="93"/>
      <c r="H423" s="104"/>
      <c r="I423" s="105"/>
    </row>
    <row r="424" spans="1:9" ht="15" thickBot="1" x14ac:dyDescent="0.35">
      <c r="A424" s="34" t="s">
        <v>736</v>
      </c>
      <c r="B424" s="36" t="s">
        <v>737</v>
      </c>
      <c r="C424" s="35"/>
      <c r="D424" s="35"/>
      <c r="E424" s="35"/>
      <c r="F424" s="35"/>
      <c r="G424" s="35"/>
      <c r="H424" s="35"/>
      <c r="I424" s="117">
        <f>I425+I457+I460</f>
        <v>200107.09259402001</v>
      </c>
    </row>
    <row r="425" spans="1:9" ht="25.8" customHeight="1" thickBot="1" x14ac:dyDescent="0.35">
      <c r="A425" s="43" t="s">
        <v>738</v>
      </c>
      <c r="B425" s="42" t="s">
        <v>1979</v>
      </c>
      <c r="C425" s="31"/>
      <c r="D425" s="31"/>
      <c r="E425" s="93"/>
      <c r="F425" s="93"/>
      <c r="G425" s="93"/>
      <c r="H425" s="104"/>
      <c r="I425" s="119">
        <f>SUM(I426:I456)</f>
        <v>107298.77945028999</v>
      </c>
    </row>
    <row r="426" spans="1:9" ht="28.2" thickBot="1" x14ac:dyDescent="0.35">
      <c r="A426" s="23" t="s">
        <v>739</v>
      </c>
      <c r="B426" s="26" t="s">
        <v>740</v>
      </c>
      <c r="C426" s="24" t="s">
        <v>49</v>
      </c>
      <c r="D426" s="27">
        <v>4</v>
      </c>
      <c r="E426" s="93">
        <f>4.23*(1.184419)</f>
        <v>5.0100923700000006</v>
      </c>
      <c r="F426" s="93">
        <f>6.3*(1.184419)</f>
        <v>7.4618397000000005</v>
      </c>
      <c r="G426" s="93">
        <f>0.55*(1.184419)</f>
        <v>0.65143045000000011</v>
      </c>
      <c r="H426" s="104">
        <f t="shared" si="26"/>
        <v>13.123362520000001</v>
      </c>
      <c r="I426" s="105">
        <f t="shared" si="27"/>
        <v>52.493450080000002</v>
      </c>
    </row>
    <row r="427" spans="1:9" ht="28.2" thickBot="1" x14ac:dyDescent="0.35">
      <c r="A427" s="23" t="s">
        <v>741</v>
      </c>
      <c r="B427" s="26" t="s">
        <v>742</v>
      </c>
      <c r="C427" s="24" t="s">
        <v>49</v>
      </c>
      <c r="D427" s="27">
        <v>127</v>
      </c>
      <c r="E427" s="93">
        <f>6.75*(1.184419)</f>
        <v>7.9948282500000012</v>
      </c>
      <c r="F427" s="93">
        <f>7.24*(1.184419)</f>
        <v>8.5751935600000007</v>
      </c>
      <c r="G427" s="93">
        <f>0.64*(1.184419)</f>
        <v>0.75802816000000006</v>
      </c>
      <c r="H427" s="104">
        <f t="shared" si="26"/>
        <v>17.328049969999999</v>
      </c>
      <c r="I427" s="105">
        <f t="shared" si="27"/>
        <v>2200.6623461899999</v>
      </c>
    </row>
    <row r="428" spans="1:9" ht="15" thickBot="1" x14ac:dyDescent="0.35">
      <c r="A428" s="23" t="s">
        <v>743</v>
      </c>
      <c r="B428" s="26" t="s">
        <v>744</v>
      </c>
      <c r="C428" s="24" t="s">
        <v>49</v>
      </c>
      <c r="D428" s="27">
        <v>3</v>
      </c>
      <c r="E428" s="93">
        <f>17.21*(1.184419)</f>
        <v>20.383850990000003</v>
      </c>
      <c r="F428" s="93">
        <f>35.97*(1.184419)</f>
        <v>42.603551430000003</v>
      </c>
      <c r="G428" s="93"/>
      <c r="H428" s="104">
        <f t="shared" si="26"/>
        <v>62.987402420000009</v>
      </c>
      <c r="I428" s="105">
        <f t="shared" si="27"/>
        <v>188.96220726000001</v>
      </c>
    </row>
    <row r="429" spans="1:9" ht="42" thickBot="1" x14ac:dyDescent="0.35">
      <c r="A429" s="23" t="s">
        <v>745</v>
      </c>
      <c r="B429" s="26" t="s">
        <v>746</v>
      </c>
      <c r="C429" s="24" t="s">
        <v>49</v>
      </c>
      <c r="D429" s="27">
        <v>2</v>
      </c>
      <c r="E429" s="93">
        <f>17.2*(1.184419)</f>
        <v>20.372006800000001</v>
      </c>
      <c r="F429" s="93">
        <f>18.57*(1.184419)</f>
        <v>21.994660830000001</v>
      </c>
      <c r="G429" s="93">
        <f>1.62*(1.184419)</f>
        <v>1.9187587800000003</v>
      </c>
      <c r="H429" s="104">
        <f t="shared" si="26"/>
        <v>44.285426409999999</v>
      </c>
      <c r="I429" s="105">
        <f t="shared" si="27"/>
        <v>88.570852819999999</v>
      </c>
    </row>
    <row r="430" spans="1:9" ht="42" thickBot="1" x14ac:dyDescent="0.35">
      <c r="A430" s="23" t="s">
        <v>747</v>
      </c>
      <c r="B430" s="26" t="s">
        <v>748</v>
      </c>
      <c r="C430" s="24" t="s">
        <v>49</v>
      </c>
      <c r="D430" s="27">
        <v>44</v>
      </c>
      <c r="E430" s="93">
        <f>18.25*(1.184419)</f>
        <v>21.615646750000003</v>
      </c>
      <c r="F430" s="93">
        <f>16.03*(1.184419)</f>
        <v>18.986236570000003</v>
      </c>
      <c r="G430" s="93">
        <f>1.4*(1.184419)</f>
        <v>1.6581866000000001</v>
      </c>
      <c r="H430" s="104">
        <f t="shared" si="26"/>
        <v>42.260069920000007</v>
      </c>
      <c r="I430" s="105">
        <f t="shared" si="27"/>
        <v>1859.4430764800004</v>
      </c>
    </row>
    <row r="431" spans="1:9" ht="42" thickBot="1" x14ac:dyDescent="0.35">
      <c r="A431" s="23" t="s">
        <v>749</v>
      </c>
      <c r="B431" s="26" t="s">
        <v>750</v>
      </c>
      <c r="C431" s="24" t="s">
        <v>49</v>
      </c>
      <c r="D431" s="27">
        <v>2</v>
      </c>
      <c r="E431" s="93">
        <f>24.73*(1.184419)</f>
        <v>29.290681870000004</v>
      </c>
      <c r="F431" s="93">
        <f>19.91*(1.184419)</f>
        <v>23.581782290000003</v>
      </c>
      <c r="G431" s="93">
        <f>1.74*(1.184419)</f>
        <v>2.0608890600000001</v>
      </c>
      <c r="H431" s="104">
        <f t="shared" si="26"/>
        <v>54.933353220000008</v>
      </c>
      <c r="I431" s="105">
        <f t="shared" si="27"/>
        <v>109.86670644000002</v>
      </c>
    </row>
    <row r="432" spans="1:9" ht="42" thickBot="1" x14ac:dyDescent="0.35">
      <c r="A432" s="23" t="s">
        <v>751</v>
      </c>
      <c r="B432" s="26" t="s">
        <v>752</v>
      </c>
      <c r="C432" s="24" t="s">
        <v>49</v>
      </c>
      <c r="D432" s="27">
        <v>11</v>
      </c>
      <c r="E432" s="93">
        <f>21.49*(1.184419)</f>
        <v>25.453164310000002</v>
      </c>
      <c r="F432" s="93">
        <f>16.92*(1.184419)</f>
        <v>20.040369480000003</v>
      </c>
      <c r="G432" s="93">
        <f>1.48*(1.184419)</f>
        <v>1.7529401200000001</v>
      </c>
      <c r="H432" s="104">
        <f t="shared" si="26"/>
        <v>47.246473909999999</v>
      </c>
      <c r="I432" s="105">
        <f t="shared" si="27"/>
        <v>519.71121300999994</v>
      </c>
    </row>
    <row r="433" spans="1:9" ht="15" thickBot="1" x14ac:dyDescent="0.35">
      <c r="A433" s="23" t="s">
        <v>753</v>
      </c>
      <c r="B433" s="26" t="s">
        <v>754</v>
      </c>
      <c r="C433" s="24" t="s">
        <v>90</v>
      </c>
      <c r="D433" s="27">
        <v>22</v>
      </c>
      <c r="E433" s="93">
        <f>9.52*(1.184419)</f>
        <v>11.275668880000001</v>
      </c>
      <c r="F433" s="93">
        <f>16.25*(1.184419)</f>
        <v>19.246808750000003</v>
      </c>
      <c r="G433" s="93"/>
      <c r="H433" s="104">
        <f t="shared" si="26"/>
        <v>30.522477630000004</v>
      </c>
      <c r="I433" s="105">
        <f t="shared" si="27"/>
        <v>671.49450786000011</v>
      </c>
    </row>
    <row r="434" spans="1:9" ht="15" thickBot="1" x14ac:dyDescent="0.35">
      <c r="A434" s="23" t="s">
        <v>755</v>
      </c>
      <c r="B434" s="26" t="s">
        <v>756</v>
      </c>
      <c r="C434" s="24" t="s">
        <v>90</v>
      </c>
      <c r="D434" s="27">
        <v>20</v>
      </c>
      <c r="E434" s="93">
        <f>13.4*(1.184419)</f>
        <v>15.871214600000002</v>
      </c>
      <c r="F434" s="93">
        <f>12.91*(1.184419)</f>
        <v>15.290849290000002</v>
      </c>
      <c r="G434" s="93"/>
      <c r="H434" s="104">
        <f t="shared" si="26"/>
        <v>31.162063890000006</v>
      </c>
      <c r="I434" s="105">
        <f t="shared" si="27"/>
        <v>623.24127780000015</v>
      </c>
    </row>
    <row r="435" spans="1:9" ht="28.2" thickBot="1" x14ac:dyDescent="0.35">
      <c r="A435" s="23" t="s">
        <v>757</v>
      </c>
      <c r="B435" s="26" t="s">
        <v>758</v>
      </c>
      <c r="C435" s="24" t="s">
        <v>49</v>
      </c>
      <c r="D435" s="27">
        <v>32</v>
      </c>
      <c r="E435" s="93">
        <f>13.51*(1.184419)</f>
        <v>16.00150069</v>
      </c>
      <c r="F435" s="93">
        <f>21.09*(1.184419)</f>
        <v>24.979396710000003</v>
      </c>
      <c r="G435" s="93">
        <f>1.84*(1.184419)</f>
        <v>2.1793309600000002</v>
      </c>
      <c r="H435" s="104">
        <f t="shared" si="26"/>
        <v>43.160228360000005</v>
      </c>
      <c r="I435" s="105">
        <f t="shared" si="27"/>
        <v>1381.1273075200002</v>
      </c>
    </row>
    <row r="436" spans="1:9" ht="28.2" thickBot="1" x14ac:dyDescent="0.35">
      <c r="A436" s="23" t="s">
        <v>759</v>
      </c>
      <c r="B436" s="26" t="s">
        <v>760</v>
      </c>
      <c r="C436" s="24" t="s">
        <v>49</v>
      </c>
      <c r="D436" s="27">
        <v>245</v>
      </c>
      <c r="E436" s="93">
        <f>15.68*(1.184419)</f>
        <v>18.571689920000001</v>
      </c>
      <c r="F436" s="93">
        <f>21.09*(1.184419)</f>
        <v>24.979396710000003</v>
      </c>
      <c r="G436" s="93">
        <f>1.84*(1.184419)</f>
        <v>2.1793309600000002</v>
      </c>
      <c r="H436" s="104">
        <f t="shared" si="26"/>
        <v>45.730417590000002</v>
      </c>
      <c r="I436" s="105">
        <f t="shared" si="27"/>
        <v>11203.952309550001</v>
      </c>
    </row>
    <row r="437" spans="1:9" ht="15" thickBot="1" x14ac:dyDescent="0.35">
      <c r="A437" s="23" t="s">
        <v>761</v>
      </c>
      <c r="B437" s="26" t="s">
        <v>762</v>
      </c>
      <c r="C437" s="24" t="s">
        <v>49</v>
      </c>
      <c r="D437" s="27">
        <v>56</v>
      </c>
      <c r="E437" s="93">
        <f>21.84*(1.184419)</f>
        <v>25.867710960000004</v>
      </c>
      <c r="F437" s="93">
        <f>18.08*(1.184419)</f>
        <v>21.41429552</v>
      </c>
      <c r="G437" s="93">
        <f>1.58*(1.184419)</f>
        <v>1.8713820200000002</v>
      </c>
      <c r="H437" s="104">
        <f t="shared" si="26"/>
        <v>49.153388500000005</v>
      </c>
      <c r="I437" s="105">
        <f t="shared" si="27"/>
        <v>2752.5897560000003</v>
      </c>
    </row>
    <row r="438" spans="1:9" ht="15" thickBot="1" x14ac:dyDescent="0.35">
      <c r="A438" s="23" t="s">
        <v>763</v>
      </c>
      <c r="B438" s="26" t="s">
        <v>764</v>
      </c>
      <c r="C438" s="24" t="s">
        <v>49</v>
      </c>
      <c r="D438" s="27">
        <v>4</v>
      </c>
      <c r="E438" s="93">
        <f>36.89*(1.184419)</f>
        <v>43.693216910000004</v>
      </c>
      <c r="F438" s="93">
        <f>38.25*(1.184419)</f>
        <v>45.304026750000006</v>
      </c>
      <c r="G438" s="93"/>
      <c r="H438" s="104">
        <f t="shared" si="26"/>
        <v>88.997243660000009</v>
      </c>
      <c r="I438" s="105">
        <f t="shared" si="27"/>
        <v>355.98897464000004</v>
      </c>
    </row>
    <row r="439" spans="1:9" ht="28.2" thickBot="1" x14ac:dyDescent="0.35">
      <c r="A439" s="23" t="s">
        <v>765</v>
      </c>
      <c r="B439" s="26" t="s">
        <v>766</v>
      </c>
      <c r="C439" s="24" t="s">
        <v>135</v>
      </c>
      <c r="D439" s="27">
        <v>87</v>
      </c>
      <c r="E439" s="93">
        <f>77.82*(1.184419)</f>
        <v>92.171486580000007</v>
      </c>
      <c r="F439" s="93">
        <f>23.9*(1.184419)</f>
        <v>28.307614100000002</v>
      </c>
      <c r="G439" s="93"/>
      <c r="H439" s="104">
        <f t="shared" si="26"/>
        <v>120.47910068000002</v>
      </c>
      <c r="I439" s="105">
        <f t="shared" si="27"/>
        <v>10481.681759160001</v>
      </c>
    </row>
    <row r="440" spans="1:9" ht="28.2" thickBot="1" x14ac:dyDescent="0.35">
      <c r="A440" s="23" t="s">
        <v>767</v>
      </c>
      <c r="B440" s="26" t="s">
        <v>768</v>
      </c>
      <c r="C440" s="24" t="s">
        <v>135</v>
      </c>
      <c r="D440" s="27">
        <v>42</v>
      </c>
      <c r="E440" s="93">
        <f>131.86*(1.184419)</f>
        <v>156.17748934000002</v>
      </c>
      <c r="F440" s="93">
        <f>35.86*(1.184419)</f>
        <v>42.473265340000005</v>
      </c>
      <c r="G440" s="93"/>
      <c r="H440" s="104">
        <f t="shared" si="26"/>
        <v>198.65075468000003</v>
      </c>
      <c r="I440" s="105">
        <f t="shared" si="27"/>
        <v>8343.3316965600006</v>
      </c>
    </row>
    <row r="441" spans="1:9" ht="28.2" thickBot="1" x14ac:dyDescent="0.35">
      <c r="A441" s="23" t="s">
        <v>769</v>
      </c>
      <c r="B441" s="26" t="s">
        <v>770</v>
      </c>
      <c r="C441" s="24" t="s">
        <v>49</v>
      </c>
      <c r="D441" s="27">
        <v>1</v>
      </c>
      <c r="E441" s="93">
        <f>44.54*(1.184419)</f>
        <v>52.754022260000006</v>
      </c>
      <c r="F441" s="93">
        <f>8.08*(1.184419)</f>
        <v>9.5701055200000003</v>
      </c>
      <c r="G441" s="93">
        <f>0.03*(1.184419)</f>
        <v>3.5532569999999999E-2</v>
      </c>
      <c r="H441" s="104">
        <f t="shared" si="26"/>
        <v>62.359660350000006</v>
      </c>
      <c r="I441" s="105">
        <f t="shared" si="27"/>
        <v>62.359660350000006</v>
      </c>
    </row>
    <row r="442" spans="1:9" ht="28.2" thickBot="1" x14ac:dyDescent="0.35">
      <c r="A442" s="23" t="s">
        <v>771</v>
      </c>
      <c r="B442" s="26" t="s">
        <v>772</v>
      </c>
      <c r="C442" s="24" t="s">
        <v>49</v>
      </c>
      <c r="D442" s="27">
        <v>1</v>
      </c>
      <c r="E442" s="93">
        <f>46.64*(1.184419)</f>
        <v>55.241302160000004</v>
      </c>
      <c r="F442" s="93">
        <f>8.08*(1.184419)</f>
        <v>9.5701055200000003</v>
      </c>
      <c r="G442" s="93">
        <f>0.03*(1.184419)</f>
        <v>3.5532569999999999E-2</v>
      </c>
      <c r="H442" s="104">
        <f t="shared" si="26"/>
        <v>64.846940250000003</v>
      </c>
      <c r="I442" s="105">
        <f t="shared" si="27"/>
        <v>64.846940250000003</v>
      </c>
    </row>
    <row r="443" spans="1:9" ht="15" thickBot="1" x14ac:dyDescent="0.35">
      <c r="A443" s="23" t="s">
        <v>773</v>
      </c>
      <c r="B443" s="26" t="s">
        <v>774</v>
      </c>
      <c r="C443" s="24" t="s">
        <v>49</v>
      </c>
      <c r="D443" s="27">
        <v>39</v>
      </c>
      <c r="E443" s="93">
        <f>6.38*(1.184419)</f>
        <v>7.5565932200000008</v>
      </c>
      <c r="F443" s="93">
        <f>6.43*(1.184419)</f>
        <v>7.6158141700000002</v>
      </c>
      <c r="G443" s="93">
        <f>0.56*(1.184419)</f>
        <v>0.66327464000000014</v>
      </c>
      <c r="H443" s="104">
        <f t="shared" si="26"/>
        <v>15.835682030000001</v>
      </c>
      <c r="I443" s="105">
        <f t="shared" si="27"/>
        <v>617.59159916999999</v>
      </c>
    </row>
    <row r="444" spans="1:9" ht="15" thickBot="1" x14ac:dyDescent="0.35">
      <c r="A444" s="23" t="s">
        <v>775</v>
      </c>
      <c r="B444" s="26" t="s">
        <v>776</v>
      </c>
      <c r="C444" s="24" t="s">
        <v>49</v>
      </c>
      <c r="D444" s="27">
        <v>19</v>
      </c>
      <c r="E444" s="93">
        <f>3.28*(1.184419)</f>
        <v>3.8848943200000003</v>
      </c>
      <c r="F444" s="93">
        <f>6.43*(1.184419)</f>
        <v>7.6158141700000002</v>
      </c>
      <c r="G444" s="93">
        <f>0.56*(1.184419)</f>
        <v>0.66327464000000014</v>
      </c>
      <c r="H444" s="104">
        <f t="shared" si="26"/>
        <v>12.163983130000002</v>
      </c>
      <c r="I444" s="105">
        <f t="shared" si="27"/>
        <v>231.11567947000003</v>
      </c>
    </row>
    <row r="445" spans="1:9" ht="15" thickBot="1" x14ac:dyDescent="0.35">
      <c r="A445" s="23" t="s">
        <v>777</v>
      </c>
      <c r="B445" s="26" t="s">
        <v>778</v>
      </c>
      <c r="C445" s="24" t="s">
        <v>135</v>
      </c>
      <c r="D445" s="27">
        <v>387</v>
      </c>
      <c r="E445" s="93">
        <f>20.28*(1.184419)</f>
        <v>24.020017320000004</v>
      </c>
      <c r="F445" s="93">
        <f>38.87*(1.184419)</f>
        <v>46.038366530000005</v>
      </c>
      <c r="G445" s="93">
        <f>3.38*(1.184419)</f>
        <v>4.0033362200000004</v>
      </c>
      <c r="H445" s="104">
        <f t="shared" si="26"/>
        <v>74.061720070000007</v>
      </c>
      <c r="I445" s="105">
        <f t="shared" si="27"/>
        <v>28661.885667090002</v>
      </c>
    </row>
    <row r="446" spans="1:9" ht="15" thickBot="1" x14ac:dyDescent="0.35">
      <c r="A446" s="23" t="s">
        <v>779</v>
      </c>
      <c r="B446" s="26" t="s">
        <v>780</v>
      </c>
      <c r="C446" s="24" t="s">
        <v>49</v>
      </c>
      <c r="D446" s="27">
        <v>69</v>
      </c>
      <c r="E446" s="93">
        <f>8.07*(1.184419)</f>
        <v>9.5582613300000006</v>
      </c>
      <c r="F446" s="93">
        <f>10.97*(1.184419)</f>
        <v>12.993076430000002</v>
      </c>
      <c r="G446" s="93">
        <f>0.96*(1.184419)</f>
        <v>1.13704224</v>
      </c>
      <c r="H446" s="104">
        <f t="shared" si="26"/>
        <v>23.688380000000002</v>
      </c>
      <c r="I446" s="105">
        <f t="shared" si="27"/>
        <v>1634.4982200000002</v>
      </c>
    </row>
    <row r="447" spans="1:9" ht="15" thickBot="1" x14ac:dyDescent="0.35">
      <c r="A447" s="23" t="s">
        <v>781</v>
      </c>
      <c r="B447" s="26" t="s">
        <v>782</v>
      </c>
      <c r="C447" s="24" t="s">
        <v>49</v>
      </c>
      <c r="D447" s="27">
        <v>2</v>
      </c>
      <c r="E447" s="93">
        <f>7.47*(1.184419)</f>
        <v>8.8476099300000008</v>
      </c>
      <c r="F447" s="93">
        <f>8.76*(1.184419)</f>
        <v>10.375510440000001</v>
      </c>
      <c r="G447" s="93">
        <f>0.76*(1.184419)</f>
        <v>0.90015844000000012</v>
      </c>
      <c r="H447" s="104">
        <f t="shared" si="26"/>
        <v>20.123278810000002</v>
      </c>
      <c r="I447" s="105">
        <f t="shared" si="27"/>
        <v>40.246557620000004</v>
      </c>
    </row>
    <row r="448" spans="1:9" ht="15" thickBot="1" x14ac:dyDescent="0.35">
      <c r="A448" s="23" t="s">
        <v>783</v>
      </c>
      <c r="B448" s="26" t="s">
        <v>784</v>
      </c>
      <c r="C448" s="24" t="s">
        <v>49</v>
      </c>
      <c r="D448" s="27">
        <v>32</v>
      </c>
      <c r="E448" s="93">
        <f>5.29*(1.184419)</f>
        <v>6.2655765100000007</v>
      </c>
      <c r="F448" s="93">
        <f>4.89*(1.184419)</f>
        <v>5.7918089100000003</v>
      </c>
      <c r="G448" s="93"/>
      <c r="H448" s="104">
        <f t="shared" si="26"/>
        <v>12.057385420000001</v>
      </c>
      <c r="I448" s="105">
        <f t="shared" si="27"/>
        <v>385.83633344000003</v>
      </c>
    </row>
    <row r="449" spans="1:9" ht="15" thickBot="1" x14ac:dyDescent="0.35">
      <c r="A449" s="23" t="s">
        <v>785</v>
      </c>
      <c r="B449" s="26" t="s">
        <v>786</v>
      </c>
      <c r="C449" s="24" t="s">
        <v>49</v>
      </c>
      <c r="D449" s="27">
        <v>6</v>
      </c>
      <c r="E449" s="93">
        <f>18.82*(1.184419)</f>
        <v>22.290765580000002</v>
      </c>
      <c r="F449" s="93">
        <f>11.31*(1.184419)</f>
        <v>13.395778890000003</v>
      </c>
      <c r="G449" s="93">
        <f>0.98*(1.184419)</f>
        <v>1.16073062</v>
      </c>
      <c r="H449" s="104">
        <f t="shared" si="26"/>
        <v>36.847275090000004</v>
      </c>
      <c r="I449" s="105">
        <f t="shared" si="27"/>
        <v>221.08365054000001</v>
      </c>
    </row>
    <row r="450" spans="1:9" ht="15" thickBot="1" x14ac:dyDescent="0.35">
      <c r="A450" s="23" t="s">
        <v>787</v>
      </c>
      <c r="B450" s="26" t="s">
        <v>788</v>
      </c>
      <c r="C450" s="24" t="s">
        <v>49</v>
      </c>
      <c r="D450" s="27">
        <v>129</v>
      </c>
      <c r="E450" s="93">
        <f>18.82*(1.184419)</f>
        <v>22.290765580000002</v>
      </c>
      <c r="F450" s="93">
        <f>11.31*(1.184419)</f>
        <v>13.395778890000003</v>
      </c>
      <c r="G450" s="93">
        <f>0.98*(1.184419)</f>
        <v>1.16073062</v>
      </c>
      <c r="H450" s="104">
        <f t="shared" si="26"/>
        <v>36.847275090000004</v>
      </c>
      <c r="I450" s="105">
        <f t="shared" si="27"/>
        <v>4753.2984866100005</v>
      </c>
    </row>
    <row r="451" spans="1:9" ht="42" thickBot="1" x14ac:dyDescent="0.35">
      <c r="A451" s="23" t="s">
        <v>789</v>
      </c>
      <c r="B451" s="26" t="s">
        <v>790</v>
      </c>
      <c r="C451" s="24" t="s">
        <v>135</v>
      </c>
      <c r="D451" s="27">
        <v>429</v>
      </c>
      <c r="E451" s="93">
        <f>18.48*(1.184419)</f>
        <v>21.888063120000002</v>
      </c>
      <c r="F451" s="93">
        <f>6.83*(1.184419)</f>
        <v>8.0895817700000006</v>
      </c>
      <c r="G451" s="93">
        <f>0.53*(1.184419)</f>
        <v>0.62774207000000004</v>
      </c>
      <c r="H451" s="104">
        <f t="shared" si="26"/>
        <v>30.605386960000001</v>
      </c>
      <c r="I451" s="105">
        <f t="shared" si="27"/>
        <v>13129.711005839999</v>
      </c>
    </row>
    <row r="452" spans="1:9" ht="42" thickBot="1" x14ac:dyDescent="0.35">
      <c r="A452" s="23" t="s">
        <v>791</v>
      </c>
      <c r="B452" s="26" t="s">
        <v>792</v>
      </c>
      <c r="C452" s="24" t="s">
        <v>135</v>
      </c>
      <c r="D452" s="27">
        <v>87</v>
      </c>
      <c r="E452" s="93">
        <f>23.25*(1.184419)</f>
        <v>27.537741750000002</v>
      </c>
      <c r="F452" s="93">
        <f>8.18*(1.184419)</f>
        <v>9.6885474200000008</v>
      </c>
      <c r="G452" s="93">
        <f>0.65*(1.184419)</f>
        <v>0.76987235000000009</v>
      </c>
      <c r="H452" s="104">
        <f t="shared" si="26"/>
        <v>37.996161520000001</v>
      </c>
      <c r="I452" s="105">
        <f t="shared" si="27"/>
        <v>3305.6660522400002</v>
      </c>
    </row>
    <row r="453" spans="1:9" ht="42" thickBot="1" x14ac:dyDescent="0.35">
      <c r="A453" s="23" t="s">
        <v>793</v>
      </c>
      <c r="B453" s="26" t="s">
        <v>794</v>
      </c>
      <c r="C453" s="24" t="s">
        <v>49</v>
      </c>
      <c r="D453" s="27">
        <v>108</v>
      </c>
      <c r="E453" s="93">
        <f>35.87*(1.184419)</f>
        <v>42.485109530000003</v>
      </c>
      <c r="F453" s="93">
        <f>19.97*(1.184419)</f>
        <v>23.652847430000001</v>
      </c>
      <c r="G453" s="93">
        <f>1.52*(1.184419)</f>
        <v>1.8003168800000002</v>
      </c>
      <c r="H453" s="104">
        <f t="shared" si="26"/>
        <v>67.938273839999994</v>
      </c>
      <c r="I453" s="105">
        <f t="shared" si="27"/>
        <v>7337.333574719999</v>
      </c>
    </row>
    <row r="454" spans="1:9" ht="42" thickBot="1" x14ac:dyDescent="0.35">
      <c r="A454" s="23" t="s">
        <v>795</v>
      </c>
      <c r="B454" s="26" t="s">
        <v>796</v>
      </c>
      <c r="C454" s="24" t="s">
        <v>49</v>
      </c>
      <c r="D454" s="27">
        <v>24</v>
      </c>
      <c r="E454" s="93">
        <f>53.63*(1.184419)</f>
        <v>63.520390970000008</v>
      </c>
      <c r="F454" s="93">
        <f>38.85*(1.184419)</f>
        <v>46.014678150000009</v>
      </c>
      <c r="G454" s="93">
        <f>2.96*(1.184419)</f>
        <v>3.5058802400000002</v>
      </c>
      <c r="H454" s="104">
        <f t="shared" si="26"/>
        <v>113.04094936000001</v>
      </c>
      <c r="I454" s="105">
        <f t="shared" si="27"/>
        <v>2712.9827846400003</v>
      </c>
    </row>
    <row r="455" spans="1:9" ht="28.2" thickBot="1" x14ac:dyDescent="0.35">
      <c r="A455" s="23" t="s">
        <v>797</v>
      </c>
      <c r="B455" s="26" t="s">
        <v>798</v>
      </c>
      <c r="C455" s="24" t="s">
        <v>135</v>
      </c>
      <c r="D455" s="27">
        <v>230</v>
      </c>
      <c r="E455" s="93">
        <f>4.66*(1.184419)</f>
        <v>5.519392540000001</v>
      </c>
      <c r="F455" s="93">
        <f>3.48*(1.184419)</f>
        <v>4.1217781200000001</v>
      </c>
      <c r="G455" s="93">
        <f>0.24*(1.184419)</f>
        <v>0.28426056</v>
      </c>
      <c r="H455" s="104">
        <f t="shared" si="26"/>
        <v>9.9254312200000001</v>
      </c>
      <c r="I455" s="105">
        <f t="shared" si="27"/>
        <v>2282.8491806000002</v>
      </c>
    </row>
    <row r="456" spans="1:9" ht="28.2" thickBot="1" x14ac:dyDescent="0.35">
      <c r="A456" s="23" t="s">
        <v>799</v>
      </c>
      <c r="B456" s="26" t="s">
        <v>800</v>
      </c>
      <c r="C456" s="24" t="s">
        <v>135</v>
      </c>
      <c r="D456" s="27">
        <v>83</v>
      </c>
      <c r="E456" s="93">
        <f>6.17*(1.184419)</f>
        <v>7.3078652300000009</v>
      </c>
      <c r="F456" s="93">
        <f>3.97*(1.184419)</f>
        <v>4.7021434300000005</v>
      </c>
      <c r="G456" s="93">
        <f>0.28*(1.184419)</f>
        <v>0.33163732000000007</v>
      </c>
      <c r="H456" s="104">
        <f t="shared" ref="H456:H517" si="28">E456+F456+G456</f>
        <v>12.341645980000001</v>
      </c>
      <c r="I456" s="105">
        <f t="shared" ref="I456:I517" si="29">H456*D456</f>
        <v>1024.3566163400001</v>
      </c>
    </row>
    <row r="457" spans="1:9" ht="15" thickBot="1" x14ac:dyDescent="0.35">
      <c r="A457" s="30"/>
      <c r="B457" s="41" t="s">
        <v>801</v>
      </c>
      <c r="C457" s="26"/>
      <c r="D457" s="26"/>
      <c r="E457" s="93"/>
      <c r="F457" s="93"/>
      <c r="G457" s="93"/>
      <c r="H457" s="104"/>
      <c r="I457" s="119">
        <f>I458+I459</f>
        <v>25922.478494560004</v>
      </c>
    </row>
    <row r="458" spans="1:9" ht="69.599999999999994" thickBot="1" x14ac:dyDescent="0.35">
      <c r="A458" s="23" t="s">
        <v>802</v>
      </c>
      <c r="B458" s="31" t="s">
        <v>803</v>
      </c>
      <c r="C458" s="24" t="s">
        <v>49</v>
      </c>
      <c r="D458" s="27">
        <v>28</v>
      </c>
      <c r="E458" s="93">
        <f>437.3*(1.184419)</f>
        <v>517.94642870000007</v>
      </c>
      <c r="F458" s="93">
        <f>48.82*(1.184419)</f>
        <v>57.823335580000006</v>
      </c>
      <c r="G458" s="93">
        <f>4.2*(1.184419)</f>
        <v>4.9745598000000006</v>
      </c>
      <c r="H458" s="104">
        <f t="shared" si="28"/>
        <v>580.74432408000007</v>
      </c>
      <c r="I458" s="105">
        <f t="shared" si="29"/>
        <v>16260.841074240001</v>
      </c>
    </row>
    <row r="459" spans="1:9" ht="55.8" thickBot="1" x14ac:dyDescent="0.35">
      <c r="A459" s="23" t="s">
        <v>804</v>
      </c>
      <c r="B459" s="31" t="s">
        <v>805</v>
      </c>
      <c r="C459" s="24" t="s">
        <v>49</v>
      </c>
      <c r="D459" s="27">
        <v>16</v>
      </c>
      <c r="E459" s="93">
        <f>456.81*(1.184419)</f>
        <v>541.05444339000007</v>
      </c>
      <c r="F459" s="93">
        <f>48.82*(1.184419)</f>
        <v>57.823335580000006</v>
      </c>
      <c r="G459" s="93">
        <f>4.2*(1.184419)</f>
        <v>4.9745598000000006</v>
      </c>
      <c r="H459" s="104">
        <f t="shared" si="28"/>
        <v>603.85233877000007</v>
      </c>
      <c r="I459" s="105">
        <f t="shared" si="29"/>
        <v>9661.6374203200012</v>
      </c>
    </row>
    <row r="460" spans="1:9" ht="15" thickBot="1" x14ac:dyDescent="0.35">
      <c r="A460" s="30"/>
      <c r="B460" s="41" t="s">
        <v>806</v>
      </c>
      <c r="C460" s="26"/>
      <c r="D460" s="26"/>
      <c r="E460" s="93"/>
      <c r="F460" s="93"/>
      <c r="G460" s="93"/>
      <c r="H460" s="104"/>
      <c r="I460" s="119">
        <f>SUM(I461:I464)</f>
        <v>66885.834649170007</v>
      </c>
    </row>
    <row r="461" spans="1:9" ht="15" thickBot="1" x14ac:dyDescent="0.35">
      <c r="A461" s="23" t="s">
        <v>807</v>
      </c>
      <c r="B461" s="26" t="s">
        <v>808</v>
      </c>
      <c r="C461" s="24" t="s">
        <v>135</v>
      </c>
      <c r="D461" s="27">
        <v>180</v>
      </c>
      <c r="E461" s="93">
        <f>8.79*(1.184419)</f>
        <v>10.41104301</v>
      </c>
      <c r="F461" s="93">
        <f>2.13*(1.184419)</f>
        <v>2.5228124700000003</v>
      </c>
      <c r="G461" s="93">
        <f>0.18*(1.184419)</f>
        <v>0.21319542000000002</v>
      </c>
      <c r="H461" s="104">
        <f t="shared" si="28"/>
        <v>13.1470509</v>
      </c>
      <c r="I461" s="105">
        <f t="shared" si="29"/>
        <v>2366.4691619999999</v>
      </c>
    </row>
    <row r="462" spans="1:9" ht="15" thickBot="1" x14ac:dyDescent="0.35">
      <c r="A462" s="23" t="s">
        <v>809</v>
      </c>
      <c r="B462" s="26" t="s">
        <v>810</v>
      </c>
      <c r="C462" s="24" t="s">
        <v>135</v>
      </c>
      <c r="D462" s="28">
        <v>10500</v>
      </c>
      <c r="E462" s="93">
        <f>2.58*(1.184419)</f>
        <v>3.0558010200000005</v>
      </c>
      <c r="F462" s="93">
        <f>1.91*(1.184419)</f>
        <v>2.2622402900000003</v>
      </c>
      <c r="G462" s="93"/>
      <c r="H462" s="104">
        <f t="shared" si="28"/>
        <v>5.3180413100000008</v>
      </c>
      <c r="I462" s="105">
        <f t="shared" si="29"/>
        <v>55839.433755000005</v>
      </c>
    </row>
    <row r="463" spans="1:9" ht="15" thickBot="1" x14ac:dyDescent="0.35">
      <c r="A463" s="23" t="s">
        <v>811</v>
      </c>
      <c r="B463" s="26" t="s">
        <v>812</v>
      </c>
      <c r="C463" s="24" t="s">
        <v>135</v>
      </c>
      <c r="D463" s="27">
        <v>105</v>
      </c>
      <c r="E463" s="93">
        <f>6.54*(1.184419)</f>
        <v>7.7461002600000004</v>
      </c>
      <c r="F463" s="93">
        <f>3.35*(1.184419)</f>
        <v>3.9678036500000005</v>
      </c>
      <c r="G463" s="93"/>
      <c r="H463" s="104">
        <f t="shared" si="28"/>
        <v>11.713903910000001</v>
      </c>
      <c r="I463" s="105">
        <f t="shared" si="29"/>
        <v>1229.9599105500001</v>
      </c>
    </row>
    <row r="464" spans="1:9" ht="28.2" thickBot="1" x14ac:dyDescent="0.35">
      <c r="A464" s="23" t="s">
        <v>813</v>
      </c>
      <c r="B464" s="31" t="s">
        <v>814</v>
      </c>
      <c r="C464" s="24" t="s">
        <v>49</v>
      </c>
      <c r="D464" s="32">
        <v>1</v>
      </c>
      <c r="E464" s="93">
        <f>6289.98*(1.184419)</f>
        <v>7449.9718216199999</v>
      </c>
      <c r="F464" s="93"/>
      <c r="G464" s="93"/>
      <c r="H464" s="104">
        <f t="shared" si="28"/>
        <v>7449.9718216199999</v>
      </c>
      <c r="I464" s="105">
        <f t="shared" si="29"/>
        <v>7449.9718216199999</v>
      </c>
    </row>
    <row r="465" spans="1:9" ht="15" thickBot="1" x14ac:dyDescent="0.35">
      <c r="A465" s="30"/>
      <c r="B465" s="26"/>
      <c r="C465" s="26"/>
      <c r="D465" s="26"/>
      <c r="E465" s="93"/>
      <c r="F465" s="93"/>
      <c r="G465" s="93"/>
      <c r="H465" s="104"/>
      <c r="I465" s="105"/>
    </row>
    <row r="466" spans="1:9" ht="15" thickBot="1" x14ac:dyDescent="0.35">
      <c r="A466" s="34" t="s">
        <v>815</v>
      </c>
      <c r="B466" s="36" t="s">
        <v>816</v>
      </c>
      <c r="C466" s="35"/>
      <c r="D466" s="35"/>
      <c r="E466" s="35"/>
      <c r="F466" s="35"/>
      <c r="G466" s="35"/>
      <c r="H466" s="35"/>
      <c r="I466" s="117">
        <f>I467+I491+I480+I509</f>
        <v>46567.683381100011</v>
      </c>
    </row>
    <row r="467" spans="1:9" ht="15" thickBot="1" x14ac:dyDescent="0.35">
      <c r="A467" s="43" t="s">
        <v>817</v>
      </c>
      <c r="B467" s="42" t="s">
        <v>818</v>
      </c>
      <c r="C467" s="31"/>
      <c r="D467" s="31"/>
      <c r="E467" s="93"/>
      <c r="F467" s="93"/>
      <c r="G467" s="93"/>
      <c r="H467" s="104"/>
      <c r="I467" s="119">
        <f>SUM(I468:I479)</f>
        <v>15526.3117872</v>
      </c>
    </row>
    <row r="468" spans="1:9" ht="15" thickBot="1" x14ac:dyDescent="0.35">
      <c r="A468" s="23" t="s">
        <v>819</v>
      </c>
      <c r="B468" s="26" t="s">
        <v>820</v>
      </c>
      <c r="C468" s="24" t="s">
        <v>49</v>
      </c>
      <c r="D468" s="27">
        <v>30</v>
      </c>
      <c r="E468" s="93">
        <f>8.73*(1.184419)</f>
        <v>10.339977870000002</v>
      </c>
      <c r="F468" s="93">
        <f>1.56*(1.184419)</f>
        <v>1.8476936400000001</v>
      </c>
      <c r="G468" s="93"/>
      <c r="H468" s="104">
        <f t="shared" si="28"/>
        <v>12.187671510000001</v>
      </c>
      <c r="I468" s="105">
        <f t="shared" si="29"/>
        <v>365.63014530000004</v>
      </c>
    </row>
    <row r="469" spans="1:9" ht="28.2" thickBot="1" x14ac:dyDescent="0.35">
      <c r="A469" s="23" t="s">
        <v>821</v>
      </c>
      <c r="B469" s="26" t="s">
        <v>742</v>
      </c>
      <c r="C469" s="24" t="s">
        <v>49</v>
      </c>
      <c r="D469" s="27">
        <v>30</v>
      </c>
      <c r="E469" s="93">
        <f>6.75*(1.184419)</f>
        <v>7.9948282500000012</v>
      </c>
      <c r="F469" s="93">
        <f>7.24*(1.184419)</f>
        <v>8.5751935600000007</v>
      </c>
      <c r="G469" s="93">
        <f>0.64*(1.184419)</f>
        <v>0.75802816000000006</v>
      </c>
      <c r="H469" s="104">
        <f t="shared" si="28"/>
        <v>17.328049969999999</v>
      </c>
      <c r="I469" s="105">
        <f t="shared" si="29"/>
        <v>519.84149909999996</v>
      </c>
    </row>
    <row r="470" spans="1:9" ht="42" thickBot="1" x14ac:dyDescent="0.35">
      <c r="A470" s="23" t="s">
        <v>822</v>
      </c>
      <c r="B470" s="26" t="s">
        <v>823</v>
      </c>
      <c r="C470" s="24" t="s">
        <v>135</v>
      </c>
      <c r="D470" s="27">
        <v>120</v>
      </c>
      <c r="E470" s="93">
        <f>9.71*(1.184419)</f>
        <v>11.500708490000003</v>
      </c>
      <c r="F470" s="93">
        <f>5.65*(1.184419)</f>
        <v>6.6919673500000014</v>
      </c>
      <c r="G470" s="93">
        <f>0.44*(1.184419)</f>
        <v>0.52114436000000008</v>
      </c>
      <c r="H470" s="104">
        <f t="shared" si="28"/>
        <v>18.713820200000004</v>
      </c>
      <c r="I470" s="105">
        <f t="shared" si="29"/>
        <v>2245.6584240000007</v>
      </c>
    </row>
    <row r="471" spans="1:9" ht="42" thickBot="1" x14ac:dyDescent="0.35">
      <c r="A471" s="23" t="s">
        <v>824</v>
      </c>
      <c r="B471" s="26" t="s">
        <v>825</v>
      </c>
      <c r="C471" s="24" t="s">
        <v>49</v>
      </c>
      <c r="D471" s="27">
        <v>30</v>
      </c>
      <c r="E471" s="93">
        <f>5.32*(1.184419)</f>
        <v>6.3011090800000007</v>
      </c>
      <c r="F471" s="93">
        <f>8.65*(1.184419)</f>
        <v>10.245224350000001</v>
      </c>
      <c r="G471" s="93">
        <f>0.76*(1.184419)</f>
        <v>0.90015844000000012</v>
      </c>
      <c r="H471" s="104">
        <f t="shared" si="28"/>
        <v>17.446491869999999</v>
      </c>
      <c r="I471" s="105">
        <f t="shared" si="29"/>
        <v>523.3947561</v>
      </c>
    </row>
    <row r="472" spans="1:9" ht="42" thickBot="1" x14ac:dyDescent="0.35">
      <c r="A472" s="23" t="s">
        <v>826</v>
      </c>
      <c r="B472" s="26" t="s">
        <v>796</v>
      </c>
      <c r="C472" s="24" t="s">
        <v>49</v>
      </c>
      <c r="D472" s="27">
        <v>45</v>
      </c>
      <c r="E472" s="93">
        <f>53.63*(1.184419)</f>
        <v>63.520390970000008</v>
      </c>
      <c r="F472" s="93">
        <f>38.85*(1.184419)</f>
        <v>46.014678150000009</v>
      </c>
      <c r="G472" s="93">
        <f>2.96*(1.184419)</f>
        <v>3.5058802400000002</v>
      </c>
      <c r="H472" s="104">
        <f t="shared" si="28"/>
        <v>113.04094936000001</v>
      </c>
      <c r="I472" s="105">
        <f t="shared" si="29"/>
        <v>5086.8427212000006</v>
      </c>
    </row>
    <row r="473" spans="1:9" ht="42" thickBot="1" x14ac:dyDescent="0.35">
      <c r="A473" s="23" t="s">
        <v>827</v>
      </c>
      <c r="B473" s="26" t="s">
        <v>792</v>
      </c>
      <c r="C473" s="24" t="s">
        <v>135</v>
      </c>
      <c r="D473" s="27">
        <v>120</v>
      </c>
      <c r="E473" s="93">
        <f>23.25*(1.184419)</f>
        <v>27.537741750000002</v>
      </c>
      <c r="F473" s="93">
        <f>8.18*(1.184419)</f>
        <v>9.6885474200000008</v>
      </c>
      <c r="G473" s="93">
        <f>0.65*(1.184419)</f>
        <v>0.76987235000000009</v>
      </c>
      <c r="H473" s="104">
        <f t="shared" si="28"/>
        <v>37.996161520000001</v>
      </c>
      <c r="I473" s="105">
        <f t="shared" si="29"/>
        <v>4559.5393824000002</v>
      </c>
    </row>
    <row r="474" spans="1:9" ht="42" thickBot="1" x14ac:dyDescent="0.35">
      <c r="A474" s="23" t="s">
        <v>828</v>
      </c>
      <c r="B474" s="26" t="s">
        <v>829</v>
      </c>
      <c r="C474" s="24" t="s">
        <v>49</v>
      </c>
      <c r="D474" s="27">
        <v>30</v>
      </c>
      <c r="E474" s="93">
        <f>3.72*(1.184419)</f>
        <v>4.4060386800000009</v>
      </c>
      <c r="F474" s="93">
        <f>1.31*(1.184419)</f>
        <v>1.5515888900000001</v>
      </c>
      <c r="G474" s="93"/>
      <c r="H474" s="104">
        <f t="shared" si="28"/>
        <v>5.9576275700000014</v>
      </c>
      <c r="I474" s="105">
        <f t="shared" si="29"/>
        <v>178.72882710000005</v>
      </c>
    </row>
    <row r="475" spans="1:9" ht="15" thickBot="1" x14ac:dyDescent="0.35">
      <c r="A475" s="23" t="s">
        <v>830</v>
      </c>
      <c r="B475" s="26" t="s">
        <v>831</v>
      </c>
      <c r="C475" s="24" t="s">
        <v>49</v>
      </c>
      <c r="D475" s="27">
        <v>30</v>
      </c>
      <c r="E475" s="93">
        <f>6.41*(1.184419)</f>
        <v>7.5921257900000008</v>
      </c>
      <c r="F475" s="93">
        <f>18.08*(1.184419)</f>
        <v>21.41429552</v>
      </c>
      <c r="G475" s="93">
        <f>1.58*(1.184419)</f>
        <v>1.8713820200000002</v>
      </c>
      <c r="H475" s="104">
        <f t="shared" si="28"/>
        <v>30.877803329999999</v>
      </c>
      <c r="I475" s="105">
        <f t="shared" si="29"/>
        <v>926.33409989999996</v>
      </c>
    </row>
    <row r="476" spans="1:9" ht="28.2" thickBot="1" x14ac:dyDescent="0.35">
      <c r="A476" s="23" t="s">
        <v>832</v>
      </c>
      <c r="B476" s="26" t="s">
        <v>833</v>
      </c>
      <c r="C476" s="24" t="s">
        <v>49</v>
      </c>
      <c r="D476" s="27">
        <v>30</v>
      </c>
      <c r="E476" s="93">
        <f>5.58*(1.184419)</f>
        <v>6.6090580200000009</v>
      </c>
      <c r="F476" s="93">
        <f>4.84*(1.184419)</f>
        <v>5.73258796</v>
      </c>
      <c r="G476" s="93">
        <f>0.01*(1.184419)</f>
        <v>1.1844190000000001E-2</v>
      </c>
      <c r="H476" s="104">
        <f t="shared" si="28"/>
        <v>12.353490170000001</v>
      </c>
      <c r="I476" s="105">
        <f t="shared" si="29"/>
        <v>370.60470510000005</v>
      </c>
    </row>
    <row r="477" spans="1:9" ht="28.2" thickBot="1" x14ac:dyDescent="0.35">
      <c r="A477" s="23" t="s">
        <v>834</v>
      </c>
      <c r="B477" s="26" t="s">
        <v>835</v>
      </c>
      <c r="C477" s="24" t="s">
        <v>49</v>
      </c>
      <c r="D477" s="27">
        <v>60</v>
      </c>
      <c r="E477" s="93">
        <f>0.97*(1.184419)</f>
        <v>1.1488864300000001</v>
      </c>
      <c r="F477" s="93">
        <f>4.04*(1.184419)</f>
        <v>4.7850527600000001</v>
      </c>
      <c r="G477" s="93">
        <f>0.01*(1.184419)</f>
        <v>1.1844190000000001E-2</v>
      </c>
      <c r="H477" s="104">
        <f t="shared" si="28"/>
        <v>5.94578338</v>
      </c>
      <c r="I477" s="105">
        <f t="shared" si="29"/>
        <v>356.74700280000002</v>
      </c>
    </row>
    <row r="478" spans="1:9" ht="15" thickBot="1" x14ac:dyDescent="0.35">
      <c r="A478" s="23" t="s">
        <v>836</v>
      </c>
      <c r="B478" s="26" t="s">
        <v>837</v>
      </c>
      <c r="C478" s="24" t="s">
        <v>49</v>
      </c>
      <c r="D478" s="27">
        <v>60</v>
      </c>
      <c r="E478" s="93">
        <f>0.95*(1.184419)</f>
        <v>1.1251980500000001</v>
      </c>
      <c r="F478" s="93">
        <f>4.04*(1.184419)</f>
        <v>4.7850527600000001</v>
      </c>
      <c r="G478" s="93">
        <f>0.01*(1.184419)</f>
        <v>1.1844190000000001E-2</v>
      </c>
      <c r="H478" s="104">
        <f t="shared" si="28"/>
        <v>5.9220949999999997</v>
      </c>
      <c r="I478" s="105">
        <f t="shared" si="29"/>
        <v>355.32569999999998</v>
      </c>
    </row>
    <row r="479" spans="1:9" ht="15" thickBot="1" x14ac:dyDescent="0.35">
      <c r="A479" s="23" t="s">
        <v>838</v>
      </c>
      <c r="B479" s="26" t="s">
        <v>839</v>
      </c>
      <c r="C479" s="24" t="s">
        <v>49</v>
      </c>
      <c r="D479" s="27">
        <v>60</v>
      </c>
      <c r="E479" s="93">
        <f>0.13*(1.184419)</f>
        <v>0.15397447000000003</v>
      </c>
      <c r="F479" s="93">
        <f>0.4*(1.184419)</f>
        <v>0.47376760000000007</v>
      </c>
      <c r="G479" s="93"/>
      <c r="H479" s="104">
        <f t="shared" si="28"/>
        <v>0.62774207000000004</v>
      </c>
      <c r="I479" s="105">
        <f t="shared" si="29"/>
        <v>37.664524200000002</v>
      </c>
    </row>
    <row r="480" spans="1:9" ht="15" thickBot="1" x14ac:dyDescent="0.35">
      <c r="A480" s="43" t="s">
        <v>840</v>
      </c>
      <c r="B480" s="42" t="s">
        <v>841</v>
      </c>
      <c r="C480" s="31"/>
      <c r="D480" s="31"/>
      <c r="E480" s="93"/>
      <c r="F480" s="93"/>
      <c r="G480" s="93"/>
      <c r="H480" s="104"/>
      <c r="I480" s="119">
        <f>SUM(I481:I490)</f>
        <v>442.65291287000008</v>
      </c>
    </row>
    <row r="481" spans="1:9" ht="15" thickBot="1" x14ac:dyDescent="0.35">
      <c r="A481" s="23" t="s">
        <v>842</v>
      </c>
      <c r="B481" s="26" t="s">
        <v>820</v>
      </c>
      <c r="C481" s="24" t="s">
        <v>49</v>
      </c>
      <c r="D481" s="27">
        <v>1</v>
      </c>
      <c r="E481" s="93">
        <f>8.73*(1.184419)</f>
        <v>10.339977870000002</v>
      </c>
      <c r="F481" s="93">
        <f>1.56*(1.184419)</f>
        <v>1.8476936400000001</v>
      </c>
      <c r="G481" s="93"/>
      <c r="H481" s="104">
        <f t="shared" si="28"/>
        <v>12.187671510000001</v>
      </c>
      <c r="I481" s="105">
        <f t="shared" si="29"/>
        <v>12.187671510000001</v>
      </c>
    </row>
    <row r="482" spans="1:9" ht="28.2" thickBot="1" x14ac:dyDescent="0.35">
      <c r="A482" s="23" t="s">
        <v>843</v>
      </c>
      <c r="B482" s="26" t="s">
        <v>742</v>
      </c>
      <c r="C482" s="24" t="s">
        <v>49</v>
      </c>
      <c r="D482" s="27">
        <v>1</v>
      </c>
      <c r="E482" s="93">
        <f>6.75*(1.184419)</f>
        <v>7.9948282500000012</v>
      </c>
      <c r="F482" s="93">
        <f>7.24*(1.184419)</f>
        <v>8.5751935600000007</v>
      </c>
      <c r="G482" s="93">
        <f>0.64*(1.184419)</f>
        <v>0.75802816000000006</v>
      </c>
      <c r="H482" s="104">
        <f t="shared" si="28"/>
        <v>17.328049969999999</v>
      </c>
      <c r="I482" s="105">
        <f t="shared" si="29"/>
        <v>17.328049969999999</v>
      </c>
    </row>
    <row r="483" spans="1:9" ht="42" thickBot="1" x14ac:dyDescent="0.35">
      <c r="A483" s="23" t="s">
        <v>844</v>
      </c>
      <c r="B483" s="26" t="s">
        <v>796</v>
      </c>
      <c r="C483" s="24" t="s">
        <v>49</v>
      </c>
      <c r="D483" s="27">
        <v>1</v>
      </c>
      <c r="E483" s="93">
        <f>53.63*(1.184419)</f>
        <v>63.520390970000008</v>
      </c>
      <c r="F483" s="93">
        <f>38.85*(1.184419)</f>
        <v>46.014678150000009</v>
      </c>
      <c r="G483" s="93">
        <f>2.96*(1.184419)</f>
        <v>3.5058802400000002</v>
      </c>
      <c r="H483" s="104">
        <f t="shared" si="28"/>
        <v>113.04094936000001</v>
      </c>
      <c r="I483" s="105">
        <f t="shared" si="29"/>
        <v>113.04094936000001</v>
      </c>
    </row>
    <row r="484" spans="1:9" ht="42" thickBot="1" x14ac:dyDescent="0.35">
      <c r="A484" s="23" t="s">
        <v>845</v>
      </c>
      <c r="B484" s="26" t="s">
        <v>846</v>
      </c>
      <c r="C484" s="24" t="s">
        <v>135</v>
      </c>
      <c r="D484" s="27">
        <v>4</v>
      </c>
      <c r="E484" s="93">
        <f>24.84*(1.184419)</f>
        <v>29.420967960000002</v>
      </c>
      <c r="F484" s="93">
        <f>13.92*(1.184419)</f>
        <v>16.48711248</v>
      </c>
      <c r="G484" s="93">
        <f>1.15*(1.184419)</f>
        <v>1.36208185</v>
      </c>
      <c r="H484" s="104">
        <f t="shared" si="28"/>
        <v>47.270162290000009</v>
      </c>
      <c r="I484" s="105">
        <f t="shared" si="29"/>
        <v>189.08064916000004</v>
      </c>
    </row>
    <row r="485" spans="1:9" ht="42" thickBot="1" x14ac:dyDescent="0.35">
      <c r="A485" s="23" t="s">
        <v>847</v>
      </c>
      <c r="B485" s="26" t="s">
        <v>829</v>
      </c>
      <c r="C485" s="24" t="s">
        <v>49</v>
      </c>
      <c r="D485" s="27">
        <v>2</v>
      </c>
      <c r="E485" s="93">
        <f>3.72*(1.184419)</f>
        <v>4.4060386800000009</v>
      </c>
      <c r="F485" s="93">
        <f>1.31*(1.184419)</f>
        <v>1.5515888900000001</v>
      </c>
      <c r="G485" s="93"/>
      <c r="H485" s="104">
        <f t="shared" si="28"/>
        <v>5.9576275700000014</v>
      </c>
      <c r="I485" s="105">
        <f t="shared" si="29"/>
        <v>11.915255140000003</v>
      </c>
    </row>
    <row r="486" spans="1:9" ht="15" thickBot="1" x14ac:dyDescent="0.35">
      <c r="A486" s="23" t="s">
        <v>848</v>
      </c>
      <c r="B486" s="26" t="s">
        <v>831</v>
      </c>
      <c r="C486" s="24" t="s">
        <v>49</v>
      </c>
      <c r="D486" s="27">
        <v>2</v>
      </c>
      <c r="E486" s="93">
        <f>6.41*(1.184419)</f>
        <v>7.5921257900000008</v>
      </c>
      <c r="F486" s="93">
        <f>18.08*(1.184419)</f>
        <v>21.41429552</v>
      </c>
      <c r="G486" s="93">
        <f>1.58*(1.184419)</f>
        <v>1.8713820200000002</v>
      </c>
      <c r="H486" s="104">
        <f t="shared" si="28"/>
        <v>30.877803329999999</v>
      </c>
      <c r="I486" s="105">
        <f t="shared" si="29"/>
        <v>61.755606659999998</v>
      </c>
    </row>
    <row r="487" spans="1:9" ht="28.2" thickBot="1" x14ac:dyDescent="0.35">
      <c r="A487" s="23" t="s">
        <v>849</v>
      </c>
      <c r="B487" s="26" t="s">
        <v>833</v>
      </c>
      <c r="C487" s="24" t="s">
        <v>49</v>
      </c>
      <c r="D487" s="27">
        <v>1</v>
      </c>
      <c r="E487" s="93">
        <f>5.58*(1.184419)</f>
        <v>6.6090580200000009</v>
      </c>
      <c r="F487" s="93">
        <f>4.84*(1.184419)</f>
        <v>5.73258796</v>
      </c>
      <c r="G487" s="93">
        <f>0.01*(1.184419)</f>
        <v>1.1844190000000001E-2</v>
      </c>
      <c r="H487" s="104">
        <f t="shared" si="28"/>
        <v>12.353490170000001</v>
      </c>
      <c r="I487" s="105">
        <f t="shared" si="29"/>
        <v>12.353490170000001</v>
      </c>
    </row>
    <row r="488" spans="1:9" ht="28.2" thickBot="1" x14ac:dyDescent="0.35">
      <c r="A488" s="23" t="s">
        <v>850</v>
      </c>
      <c r="B488" s="26" t="s">
        <v>835</v>
      </c>
      <c r="C488" s="24" t="s">
        <v>49</v>
      </c>
      <c r="D488" s="27">
        <v>2</v>
      </c>
      <c r="E488" s="93">
        <f>0.97*(1.184419)</f>
        <v>1.1488864300000001</v>
      </c>
      <c r="F488" s="93">
        <f>4.04*(1.184419)</f>
        <v>4.7850527600000001</v>
      </c>
      <c r="G488" s="93">
        <f>0.01*(1.184419)</f>
        <v>1.1844190000000001E-2</v>
      </c>
      <c r="H488" s="104">
        <f t="shared" si="28"/>
        <v>5.94578338</v>
      </c>
      <c r="I488" s="105">
        <f t="shared" si="29"/>
        <v>11.89156676</v>
      </c>
    </row>
    <row r="489" spans="1:9" ht="15" thickBot="1" x14ac:dyDescent="0.35">
      <c r="A489" s="23" t="s">
        <v>851</v>
      </c>
      <c r="B489" s="26" t="s">
        <v>837</v>
      </c>
      <c r="C489" s="24" t="s">
        <v>49</v>
      </c>
      <c r="D489" s="27">
        <v>2</v>
      </c>
      <c r="E489" s="93">
        <f>0.95*(1.184419)</f>
        <v>1.1251980500000001</v>
      </c>
      <c r="F489" s="93">
        <f>4.04*(1.184419)</f>
        <v>4.7850527600000001</v>
      </c>
      <c r="G489" s="93">
        <f>0.01*(1.184419)</f>
        <v>1.1844190000000001E-2</v>
      </c>
      <c r="H489" s="104">
        <f t="shared" si="28"/>
        <v>5.9220949999999997</v>
      </c>
      <c r="I489" s="105">
        <f t="shared" si="29"/>
        <v>11.844189999999999</v>
      </c>
    </row>
    <row r="490" spans="1:9" ht="15" thickBot="1" x14ac:dyDescent="0.35">
      <c r="A490" s="23" t="s">
        <v>852</v>
      </c>
      <c r="B490" s="26" t="s">
        <v>839</v>
      </c>
      <c r="C490" s="24" t="s">
        <v>49</v>
      </c>
      <c r="D490" s="27">
        <v>2</v>
      </c>
      <c r="E490" s="93">
        <f>0.13*(1.184419)</f>
        <v>0.15397447000000003</v>
      </c>
      <c r="F490" s="93">
        <f>0.4*(1.184419)</f>
        <v>0.47376760000000007</v>
      </c>
      <c r="G490" s="93"/>
      <c r="H490" s="104">
        <f t="shared" si="28"/>
        <v>0.62774207000000004</v>
      </c>
      <c r="I490" s="105">
        <f t="shared" si="29"/>
        <v>1.2554841400000001</v>
      </c>
    </row>
    <row r="491" spans="1:9" ht="15" thickBot="1" x14ac:dyDescent="0.35">
      <c r="A491" s="43" t="s">
        <v>853</v>
      </c>
      <c r="B491" s="42" t="s">
        <v>816</v>
      </c>
      <c r="C491" s="31"/>
      <c r="D491" s="31"/>
      <c r="E491" s="93"/>
      <c r="F491" s="93"/>
      <c r="G491" s="93"/>
      <c r="H491" s="104"/>
      <c r="I491" s="119">
        <f>SUM(I492:I508)</f>
        <v>28720.040639990009</v>
      </c>
    </row>
    <row r="492" spans="1:9" ht="28.2" thickBot="1" x14ac:dyDescent="0.35">
      <c r="A492" s="23" t="s">
        <v>854</v>
      </c>
      <c r="B492" s="26" t="s">
        <v>855</v>
      </c>
      <c r="C492" s="24" t="s">
        <v>49</v>
      </c>
      <c r="D492" s="27">
        <v>1</v>
      </c>
      <c r="E492" s="93">
        <f>2296.5*(1.184419)</f>
        <v>2720.0182335000004</v>
      </c>
      <c r="F492" s="93">
        <f>632.15*(1.184419)</f>
        <v>748.73047085000007</v>
      </c>
      <c r="G492" s="93">
        <f>2.2*(1.184419)</f>
        <v>2.6057218000000004</v>
      </c>
      <c r="H492" s="104">
        <f t="shared" si="28"/>
        <v>3471.3544261500006</v>
      </c>
      <c r="I492" s="105">
        <f t="shared" si="29"/>
        <v>3471.3544261500006</v>
      </c>
    </row>
    <row r="493" spans="1:9" ht="28.2" thickBot="1" x14ac:dyDescent="0.35">
      <c r="A493" s="23" t="s">
        <v>856</v>
      </c>
      <c r="B493" s="26" t="s">
        <v>768</v>
      </c>
      <c r="C493" s="24" t="s">
        <v>135</v>
      </c>
      <c r="D493" s="27">
        <v>39</v>
      </c>
      <c r="E493" s="93">
        <f>131.86*(1.184419)</f>
        <v>156.17748934000002</v>
      </c>
      <c r="F493" s="93">
        <f>35.86*(1.184419)</f>
        <v>42.473265340000005</v>
      </c>
      <c r="G493" s="93"/>
      <c r="H493" s="104">
        <f t="shared" si="28"/>
        <v>198.65075468000003</v>
      </c>
      <c r="I493" s="105">
        <f t="shared" si="29"/>
        <v>7747.3794325200015</v>
      </c>
    </row>
    <row r="494" spans="1:9" ht="28.2" thickBot="1" x14ac:dyDescent="0.35">
      <c r="A494" s="23" t="s">
        <v>857</v>
      </c>
      <c r="B494" s="26" t="s">
        <v>766</v>
      </c>
      <c r="C494" s="24" t="s">
        <v>135</v>
      </c>
      <c r="D494" s="27">
        <v>75</v>
      </c>
      <c r="E494" s="93">
        <f>77.82*(1.184419)</f>
        <v>92.171486580000007</v>
      </c>
      <c r="F494" s="93">
        <f>23.9*(1.184419)</f>
        <v>28.307614100000002</v>
      </c>
      <c r="G494" s="93"/>
      <c r="H494" s="104">
        <f t="shared" si="28"/>
        <v>120.47910068000002</v>
      </c>
      <c r="I494" s="105">
        <f t="shared" si="29"/>
        <v>9035.9325510000017</v>
      </c>
    </row>
    <row r="495" spans="1:9" ht="28.2" thickBot="1" x14ac:dyDescent="0.35">
      <c r="A495" s="23" t="s">
        <v>858</v>
      </c>
      <c r="B495" s="26" t="s">
        <v>770</v>
      </c>
      <c r="C495" s="24" t="s">
        <v>49</v>
      </c>
      <c r="D495" s="27">
        <v>1</v>
      </c>
      <c r="E495" s="93">
        <f>44.54*(1.184419)</f>
        <v>52.754022260000006</v>
      </c>
      <c r="F495" s="93">
        <f>8.08*(1.184419)</f>
        <v>9.5701055200000003</v>
      </c>
      <c r="G495" s="93">
        <f>0.03*(1.184419)</f>
        <v>3.5532569999999999E-2</v>
      </c>
      <c r="H495" s="104">
        <f t="shared" si="28"/>
        <v>62.359660350000006</v>
      </c>
      <c r="I495" s="105">
        <f t="shared" si="29"/>
        <v>62.359660350000006</v>
      </c>
    </row>
    <row r="496" spans="1:9" ht="28.2" thickBot="1" x14ac:dyDescent="0.35">
      <c r="A496" s="23" t="s">
        <v>859</v>
      </c>
      <c r="B496" s="26" t="s">
        <v>772</v>
      </c>
      <c r="C496" s="24" t="s">
        <v>49</v>
      </c>
      <c r="D496" s="27">
        <v>1</v>
      </c>
      <c r="E496" s="93">
        <f>46.64*(1.184419)</f>
        <v>55.241302160000004</v>
      </c>
      <c r="F496" s="93">
        <f>8.08*(1.184419)</f>
        <v>9.5701055200000003</v>
      </c>
      <c r="G496" s="93">
        <f>0.03*(1.184419)</f>
        <v>3.5532569999999999E-2</v>
      </c>
      <c r="H496" s="104">
        <f t="shared" si="28"/>
        <v>64.846940250000003</v>
      </c>
      <c r="I496" s="105">
        <f t="shared" si="29"/>
        <v>64.846940250000003</v>
      </c>
    </row>
    <row r="497" spans="1:9" ht="28.2" thickBot="1" x14ac:dyDescent="0.35">
      <c r="A497" s="23" t="s">
        <v>860</v>
      </c>
      <c r="B497" s="26" t="s">
        <v>772</v>
      </c>
      <c r="C497" s="24" t="s">
        <v>49</v>
      </c>
      <c r="D497" s="27">
        <v>1</v>
      </c>
      <c r="E497" s="93">
        <f>46.64*(1.184419)</f>
        <v>55.241302160000004</v>
      </c>
      <c r="F497" s="93">
        <f>8.08*(1.184419)</f>
        <v>9.5701055200000003</v>
      </c>
      <c r="G497" s="93">
        <f>0.03*(1.184419)</f>
        <v>3.5532569999999999E-2</v>
      </c>
      <c r="H497" s="104">
        <f t="shared" si="28"/>
        <v>64.846940250000003</v>
      </c>
      <c r="I497" s="105">
        <f t="shared" si="29"/>
        <v>64.846940250000003</v>
      </c>
    </row>
    <row r="498" spans="1:9" ht="15" thickBot="1" x14ac:dyDescent="0.35">
      <c r="A498" s="23" t="s">
        <v>861</v>
      </c>
      <c r="B498" s="26" t="s">
        <v>776</v>
      </c>
      <c r="C498" s="24" t="s">
        <v>49</v>
      </c>
      <c r="D498" s="27">
        <v>14</v>
      </c>
      <c r="E498" s="93">
        <f>3.28*(1.184419)</f>
        <v>3.8848943200000003</v>
      </c>
      <c r="F498" s="93">
        <f>6.43*(1.184419)</f>
        <v>7.6158141700000002</v>
      </c>
      <c r="G498" s="93">
        <f>0.56*(1.184419)</f>
        <v>0.66327464000000014</v>
      </c>
      <c r="H498" s="104">
        <f t="shared" si="28"/>
        <v>12.163983130000002</v>
      </c>
      <c r="I498" s="105">
        <f t="shared" si="29"/>
        <v>170.29576382000002</v>
      </c>
    </row>
    <row r="499" spans="1:9" ht="15" thickBot="1" x14ac:dyDescent="0.35">
      <c r="A499" s="23" t="s">
        <v>862</v>
      </c>
      <c r="B499" s="26" t="s">
        <v>863</v>
      </c>
      <c r="C499" s="24" t="s">
        <v>49</v>
      </c>
      <c r="D499" s="27">
        <v>2</v>
      </c>
      <c r="E499" s="93">
        <f>10.64*(1.184419)</f>
        <v>12.602218160000001</v>
      </c>
      <c r="F499" s="93">
        <f>6.43*(1.184419)</f>
        <v>7.6158141700000002</v>
      </c>
      <c r="G499" s="93">
        <f>0.56*(1.184419)</f>
        <v>0.66327464000000014</v>
      </c>
      <c r="H499" s="104">
        <f t="shared" si="28"/>
        <v>20.881306970000001</v>
      </c>
      <c r="I499" s="105">
        <f t="shared" si="29"/>
        <v>41.762613940000001</v>
      </c>
    </row>
    <row r="500" spans="1:9" ht="42" thickBot="1" x14ac:dyDescent="0.35">
      <c r="A500" s="23" t="s">
        <v>864</v>
      </c>
      <c r="B500" s="26" t="s">
        <v>865</v>
      </c>
      <c r="C500" s="24" t="s">
        <v>135</v>
      </c>
      <c r="D500" s="27">
        <v>18</v>
      </c>
      <c r="E500" s="93">
        <f>50.96*(1.184419)</f>
        <v>60.357992240000009</v>
      </c>
      <c r="F500" s="93">
        <f>16.63*(1.184419)</f>
        <v>19.696887970000002</v>
      </c>
      <c r="G500" s="93"/>
      <c r="H500" s="104">
        <f t="shared" si="28"/>
        <v>80.054880210000007</v>
      </c>
      <c r="I500" s="105">
        <f t="shared" si="29"/>
        <v>1440.98784378</v>
      </c>
    </row>
    <row r="501" spans="1:9" ht="15" thickBot="1" x14ac:dyDescent="0.35">
      <c r="A501" s="23" t="s">
        <v>866</v>
      </c>
      <c r="B501" s="26" t="s">
        <v>867</v>
      </c>
      <c r="C501" s="24" t="s">
        <v>135</v>
      </c>
      <c r="D501" s="27">
        <v>15</v>
      </c>
      <c r="E501" s="93">
        <f>30.61*(1.184419)</f>
        <v>36.255065590000001</v>
      </c>
      <c r="F501" s="93">
        <f>47.81*(1.184419)</f>
        <v>56.627072390000009</v>
      </c>
      <c r="G501" s="93"/>
      <c r="H501" s="104">
        <f t="shared" si="28"/>
        <v>92.88213798000001</v>
      </c>
      <c r="I501" s="105">
        <f t="shared" si="29"/>
        <v>1393.2320697000002</v>
      </c>
    </row>
    <row r="502" spans="1:9" ht="15" thickBot="1" x14ac:dyDescent="0.35">
      <c r="A502" s="23" t="s">
        <v>868</v>
      </c>
      <c r="B502" s="26" t="s">
        <v>869</v>
      </c>
      <c r="C502" s="24" t="s">
        <v>135</v>
      </c>
      <c r="D502" s="27">
        <v>3</v>
      </c>
      <c r="E502" s="93">
        <f>90.57*(1.184419)</f>
        <v>107.27282883000001</v>
      </c>
      <c r="F502" s="93">
        <f>86.06*(1.184419)</f>
        <v>101.93109914000001</v>
      </c>
      <c r="G502" s="93"/>
      <c r="H502" s="104">
        <f t="shared" si="28"/>
        <v>209.20392797000002</v>
      </c>
      <c r="I502" s="105">
        <f t="shared" si="29"/>
        <v>627.6117839100001</v>
      </c>
    </row>
    <row r="503" spans="1:9" ht="42" thickBot="1" x14ac:dyDescent="0.35">
      <c r="A503" s="23" t="s">
        <v>870</v>
      </c>
      <c r="B503" s="26" t="s">
        <v>823</v>
      </c>
      <c r="C503" s="24" t="s">
        <v>135</v>
      </c>
      <c r="D503" s="27">
        <v>105</v>
      </c>
      <c r="E503" s="93">
        <f>9.71*(1.184419)</f>
        <v>11.500708490000003</v>
      </c>
      <c r="F503" s="93">
        <f>5.65*(1.184419)</f>
        <v>6.6919673500000014</v>
      </c>
      <c r="G503" s="93">
        <f>0.44*(1.184419)</f>
        <v>0.52114436000000008</v>
      </c>
      <c r="H503" s="104">
        <f t="shared" si="28"/>
        <v>18.713820200000004</v>
      </c>
      <c r="I503" s="105">
        <f t="shared" si="29"/>
        <v>1964.9511210000005</v>
      </c>
    </row>
    <row r="504" spans="1:9" ht="15" thickBot="1" x14ac:dyDescent="0.35">
      <c r="A504" s="23" t="s">
        <v>871</v>
      </c>
      <c r="B504" s="26" t="s">
        <v>872</v>
      </c>
      <c r="C504" s="24" t="s">
        <v>49</v>
      </c>
      <c r="D504" s="27">
        <v>11</v>
      </c>
      <c r="E504" s="93">
        <f>75.17*(1.184419)</f>
        <v>89.03277623000001</v>
      </c>
      <c r="F504" s="93">
        <f>20.33*(1.184419)</f>
        <v>24.079238270000001</v>
      </c>
      <c r="G504" s="93">
        <f>1.76*(1.184419)</f>
        <v>2.0845774400000003</v>
      </c>
      <c r="H504" s="104">
        <f t="shared" si="28"/>
        <v>115.19659194000002</v>
      </c>
      <c r="I504" s="105">
        <f t="shared" si="29"/>
        <v>1267.1625113400003</v>
      </c>
    </row>
    <row r="505" spans="1:9" ht="15" thickBot="1" x14ac:dyDescent="0.35">
      <c r="A505" s="23" t="s">
        <v>873</v>
      </c>
      <c r="B505" s="26" t="s">
        <v>764</v>
      </c>
      <c r="C505" s="24" t="s">
        <v>49</v>
      </c>
      <c r="D505" s="27">
        <v>5</v>
      </c>
      <c r="E505" s="93">
        <f>36.89*(1.184419)</f>
        <v>43.693216910000004</v>
      </c>
      <c r="F505" s="93">
        <f>38.25*(1.184419)</f>
        <v>45.304026750000006</v>
      </c>
      <c r="G505" s="93"/>
      <c r="H505" s="104">
        <f t="shared" si="28"/>
        <v>88.997243660000009</v>
      </c>
      <c r="I505" s="105">
        <f t="shared" si="29"/>
        <v>444.98621830000002</v>
      </c>
    </row>
    <row r="506" spans="1:9" ht="28.2" thickBot="1" x14ac:dyDescent="0.35">
      <c r="A506" s="23" t="s">
        <v>874</v>
      </c>
      <c r="B506" s="26" t="s">
        <v>875</v>
      </c>
      <c r="C506" s="24" t="s">
        <v>49</v>
      </c>
      <c r="D506" s="27">
        <v>4</v>
      </c>
      <c r="E506" s="93">
        <f>72.46*(1.184419)</f>
        <v>85.823000739999998</v>
      </c>
      <c r="F506" s="93">
        <f>45.83*(1.184419)</f>
        <v>54.281922770000001</v>
      </c>
      <c r="G506" s="93">
        <f>0.01*(1.184419)</f>
        <v>1.1844190000000001E-2</v>
      </c>
      <c r="H506" s="104">
        <f t="shared" si="28"/>
        <v>140.1167677</v>
      </c>
      <c r="I506" s="105">
        <f t="shared" si="29"/>
        <v>560.46707079999999</v>
      </c>
    </row>
    <row r="507" spans="1:9" ht="28.2" thickBot="1" x14ac:dyDescent="0.35">
      <c r="A507" s="23" t="s">
        <v>876</v>
      </c>
      <c r="B507" s="26" t="s">
        <v>877</v>
      </c>
      <c r="C507" s="24" t="s">
        <v>49</v>
      </c>
      <c r="D507" s="27">
        <v>1</v>
      </c>
      <c r="E507" s="93">
        <f>123.08*(1.184419)</f>
        <v>145.77829052000001</v>
      </c>
      <c r="F507" s="93">
        <f>59.79*(1.184419)</f>
        <v>70.816412010000008</v>
      </c>
      <c r="G507" s="93">
        <f>0.01*(1.184419)</f>
        <v>1.1844190000000001E-2</v>
      </c>
      <c r="H507" s="104">
        <f t="shared" si="28"/>
        <v>216.60654672000001</v>
      </c>
      <c r="I507" s="105">
        <f t="shared" si="29"/>
        <v>216.60654672000001</v>
      </c>
    </row>
    <row r="508" spans="1:9" ht="28.2" thickBot="1" x14ac:dyDescent="0.35">
      <c r="A508" s="23" t="s">
        <v>878</v>
      </c>
      <c r="B508" s="26" t="s">
        <v>879</v>
      </c>
      <c r="C508" s="24" t="s">
        <v>49</v>
      </c>
      <c r="D508" s="27">
        <v>1</v>
      </c>
      <c r="E508" s="93">
        <f>74.04*(1.184419)</f>
        <v>87.694382760000011</v>
      </c>
      <c r="F508" s="93">
        <f>48.46*(1.184419)</f>
        <v>57.396944740000009</v>
      </c>
      <c r="G508" s="93">
        <f>0.14*(1.184419)</f>
        <v>0.16581866000000003</v>
      </c>
      <c r="H508" s="104">
        <f t="shared" si="28"/>
        <v>145.25714616000005</v>
      </c>
      <c r="I508" s="105">
        <f t="shared" si="29"/>
        <v>145.25714616000005</v>
      </c>
    </row>
    <row r="509" spans="1:9" ht="15" thickBot="1" x14ac:dyDescent="0.35">
      <c r="A509" s="43" t="s">
        <v>880</v>
      </c>
      <c r="B509" s="42" t="s">
        <v>881</v>
      </c>
      <c r="C509" s="31"/>
      <c r="D509" s="31"/>
      <c r="E509" s="93"/>
      <c r="F509" s="93"/>
      <c r="G509" s="93"/>
      <c r="H509" s="104"/>
      <c r="I509" s="119">
        <f>I510+I511</f>
        <v>1878.6780410400004</v>
      </c>
    </row>
    <row r="510" spans="1:9" ht="28.2" thickBot="1" x14ac:dyDescent="0.35">
      <c r="A510" s="23" t="s">
        <v>882</v>
      </c>
      <c r="B510" s="26" t="s">
        <v>883</v>
      </c>
      <c r="C510" s="24" t="s">
        <v>135</v>
      </c>
      <c r="D510" s="27">
        <v>40</v>
      </c>
      <c r="E510" s="93">
        <f>14.21*(1.184419)</f>
        <v>16.830593990000004</v>
      </c>
      <c r="F510" s="93">
        <f>21.27*(1.184419)</f>
        <v>25.192592130000001</v>
      </c>
      <c r="G510" s="93">
        <f>0.06*(1.184419)</f>
        <v>7.1065139999999999E-2</v>
      </c>
      <c r="H510" s="104">
        <f t="shared" si="28"/>
        <v>42.094251260000007</v>
      </c>
      <c r="I510" s="105">
        <f t="shared" si="29"/>
        <v>1683.7700504000004</v>
      </c>
    </row>
    <row r="511" spans="1:9" ht="15" thickBot="1" x14ac:dyDescent="0.35">
      <c r="A511" s="23" t="s">
        <v>884</v>
      </c>
      <c r="B511" s="26" t="s">
        <v>885</v>
      </c>
      <c r="C511" s="24" t="s">
        <v>49</v>
      </c>
      <c r="D511" s="27">
        <v>8</v>
      </c>
      <c r="E511" s="93">
        <f>15.72*(1.184419)</f>
        <v>18.619066680000003</v>
      </c>
      <c r="F511" s="93">
        <f>4.84*(1.184419)</f>
        <v>5.73258796</v>
      </c>
      <c r="G511" s="93">
        <f>0.01*(1.184419)</f>
        <v>1.1844190000000001E-2</v>
      </c>
      <c r="H511" s="104">
        <f t="shared" si="28"/>
        <v>24.363498830000005</v>
      </c>
      <c r="I511" s="105">
        <f t="shared" si="29"/>
        <v>194.90799064000004</v>
      </c>
    </row>
    <row r="512" spans="1:9" ht="15" thickBot="1" x14ac:dyDescent="0.35">
      <c r="A512" s="30"/>
      <c r="B512" s="26"/>
      <c r="C512" s="26"/>
      <c r="D512" s="26"/>
      <c r="E512" s="93"/>
      <c r="F512" s="93"/>
      <c r="G512" s="93"/>
      <c r="H512" s="104"/>
      <c r="I512" s="105"/>
    </row>
    <row r="513" spans="1:9" ht="15" thickBot="1" x14ac:dyDescent="0.35">
      <c r="A513" s="34" t="s">
        <v>886</v>
      </c>
      <c r="B513" s="36" t="s">
        <v>887</v>
      </c>
      <c r="C513" s="35"/>
      <c r="D513" s="35"/>
      <c r="E513" s="35"/>
      <c r="F513" s="35"/>
      <c r="G513" s="35"/>
      <c r="H513" s="35"/>
      <c r="I513" s="117">
        <f>I514+I515+I516+I517</f>
        <v>7790.3975306000011</v>
      </c>
    </row>
    <row r="514" spans="1:9" ht="28.2" thickBot="1" x14ac:dyDescent="0.35">
      <c r="A514" s="23" t="s">
        <v>888</v>
      </c>
      <c r="B514" s="26" t="s">
        <v>889</v>
      </c>
      <c r="C514" s="24" t="s">
        <v>135</v>
      </c>
      <c r="D514" s="27">
        <v>6</v>
      </c>
      <c r="E514" s="93">
        <f>98.29*(1.184419)</f>
        <v>116.41654351000003</v>
      </c>
      <c r="F514" s="93">
        <f>34.94*(1.184419)</f>
        <v>41.383599860000004</v>
      </c>
      <c r="G514" s="93"/>
      <c r="H514" s="104">
        <f t="shared" si="28"/>
        <v>157.80014337000003</v>
      </c>
      <c r="I514" s="105">
        <f t="shared" si="29"/>
        <v>946.80086022000023</v>
      </c>
    </row>
    <row r="515" spans="1:9" ht="15" thickBot="1" x14ac:dyDescent="0.35">
      <c r="A515" s="23" t="s">
        <v>890</v>
      </c>
      <c r="B515" s="26" t="s">
        <v>891</v>
      </c>
      <c r="C515" s="24" t="s">
        <v>49</v>
      </c>
      <c r="D515" s="27">
        <v>2</v>
      </c>
      <c r="E515" s="93">
        <f>758.85*(1.184419)</f>
        <v>898.79635815000006</v>
      </c>
      <c r="F515" s="93">
        <f>29.69*(1.184419)</f>
        <v>35.165400110000007</v>
      </c>
      <c r="G515" s="93">
        <f>1.78*(1.184419)</f>
        <v>2.1082658200000002</v>
      </c>
      <c r="H515" s="104">
        <f t="shared" si="28"/>
        <v>936.07002408000017</v>
      </c>
      <c r="I515" s="105">
        <f t="shared" si="29"/>
        <v>1872.1400481600003</v>
      </c>
    </row>
    <row r="516" spans="1:9" ht="28.2" thickBot="1" x14ac:dyDescent="0.35">
      <c r="A516" s="23" t="s">
        <v>892</v>
      </c>
      <c r="B516" s="26" t="s">
        <v>883</v>
      </c>
      <c r="C516" s="24" t="s">
        <v>135</v>
      </c>
      <c r="D516" s="27">
        <v>110</v>
      </c>
      <c r="E516" s="93">
        <f>14.21*(1.184419)</f>
        <v>16.830593990000004</v>
      </c>
      <c r="F516" s="93">
        <f>21.27*(1.184419)</f>
        <v>25.192592130000001</v>
      </c>
      <c r="G516" s="93">
        <f>0.06*(1.184419)</f>
        <v>7.1065139999999999E-2</v>
      </c>
      <c r="H516" s="104">
        <f t="shared" si="28"/>
        <v>42.094251260000007</v>
      </c>
      <c r="I516" s="105">
        <f t="shared" si="29"/>
        <v>4630.3676386000006</v>
      </c>
    </row>
    <row r="517" spans="1:9" ht="15" thickBot="1" x14ac:dyDescent="0.35">
      <c r="A517" s="23" t="s">
        <v>893</v>
      </c>
      <c r="B517" s="26" t="s">
        <v>885</v>
      </c>
      <c r="C517" s="24" t="s">
        <v>49</v>
      </c>
      <c r="D517" s="27">
        <v>14</v>
      </c>
      <c r="E517" s="93">
        <f>15.72*(1.184419)</f>
        <v>18.619066680000003</v>
      </c>
      <c r="F517" s="93">
        <f>4.84*(1.184419)</f>
        <v>5.73258796</v>
      </c>
      <c r="G517" s="93">
        <f>0.01*(1.184419)</f>
        <v>1.1844190000000001E-2</v>
      </c>
      <c r="H517" s="104">
        <f t="shared" si="28"/>
        <v>24.363498830000005</v>
      </c>
      <c r="I517" s="105">
        <f t="shared" si="29"/>
        <v>341.08898362000008</v>
      </c>
    </row>
    <row r="518" spans="1:9" ht="15" thickBot="1" x14ac:dyDescent="0.35">
      <c r="A518" s="30"/>
      <c r="B518" s="26"/>
      <c r="C518" s="26"/>
      <c r="D518" s="26"/>
      <c r="E518" s="93"/>
      <c r="F518" s="93"/>
      <c r="G518" s="93"/>
      <c r="H518" s="104"/>
      <c r="I518" s="105"/>
    </row>
    <row r="519" spans="1:9" ht="15" thickBot="1" x14ac:dyDescent="0.35">
      <c r="A519" s="34" t="s">
        <v>894</v>
      </c>
      <c r="B519" s="36" t="s">
        <v>895</v>
      </c>
      <c r="C519" s="35"/>
      <c r="D519" s="35"/>
      <c r="E519" s="35"/>
      <c r="F519" s="35"/>
      <c r="G519" s="35"/>
      <c r="H519" s="35"/>
      <c r="I519" s="117">
        <f>SUM(I520:I526)</f>
        <v>523.18156068000008</v>
      </c>
    </row>
    <row r="520" spans="1:9" ht="42" thickBot="1" x14ac:dyDescent="0.35">
      <c r="A520" s="23" t="s">
        <v>896</v>
      </c>
      <c r="B520" s="26" t="s">
        <v>897</v>
      </c>
      <c r="C520" s="24" t="s">
        <v>135</v>
      </c>
      <c r="D520" s="27">
        <v>6</v>
      </c>
      <c r="E520" s="93">
        <f>20.09*(1.184419)</f>
        <v>23.794977710000001</v>
      </c>
      <c r="F520" s="93">
        <f>12.7*(1.184419)</f>
        <v>15.0421213</v>
      </c>
      <c r="G520" s="93">
        <f>1.05*(1.184419)</f>
        <v>1.2436399500000002</v>
      </c>
      <c r="H520" s="104">
        <f t="shared" ref="H520:H583" si="30">E520+F520+G520</f>
        <v>40.080738960000005</v>
      </c>
      <c r="I520" s="105">
        <f t="shared" ref="I520:I583" si="31">H520*D520</f>
        <v>240.48443376000003</v>
      </c>
    </row>
    <row r="521" spans="1:9" ht="42" thickBot="1" x14ac:dyDescent="0.35">
      <c r="A521" s="23" t="s">
        <v>898</v>
      </c>
      <c r="B521" s="26" t="s">
        <v>794</v>
      </c>
      <c r="C521" s="24" t="s">
        <v>49</v>
      </c>
      <c r="D521" s="27">
        <v>2</v>
      </c>
      <c r="E521" s="93">
        <f>35.87*(1.184419)</f>
        <v>42.485109530000003</v>
      </c>
      <c r="F521" s="93">
        <f>19.97*(1.184419)</f>
        <v>23.652847430000001</v>
      </c>
      <c r="G521" s="93">
        <f>1.52*(1.184419)</f>
        <v>1.8003168800000002</v>
      </c>
      <c r="H521" s="104">
        <f t="shared" si="30"/>
        <v>67.938273839999994</v>
      </c>
      <c r="I521" s="105">
        <f t="shared" si="31"/>
        <v>135.87654767999999</v>
      </c>
    </row>
    <row r="522" spans="1:9" ht="42" thickBot="1" x14ac:dyDescent="0.35">
      <c r="A522" s="23" t="s">
        <v>899</v>
      </c>
      <c r="B522" s="26" t="s">
        <v>900</v>
      </c>
      <c r="C522" s="24" t="s">
        <v>135</v>
      </c>
      <c r="D522" s="27">
        <v>6</v>
      </c>
      <c r="E522" s="93">
        <f>6.12*(1.184419)</f>
        <v>7.2486442800000006</v>
      </c>
      <c r="F522" s="93">
        <f>4.8*(1.184419)</f>
        <v>5.6852112000000004</v>
      </c>
      <c r="G522" s="93">
        <f>0.36*(1.184419)</f>
        <v>0.42639084000000005</v>
      </c>
      <c r="H522" s="104">
        <f t="shared" si="30"/>
        <v>13.360246320000002</v>
      </c>
      <c r="I522" s="105">
        <f t="shared" si="31"/>
        <v>80.16147792000001</v>
      </c>
    </row>
    <row r="523" spans="1:9" ht="28.2" thickBot="1" x14ac:dyDescent="0.35">
      <c r="A523" s="23" t="s">
        <v>901</v>
      </c>
      <c r="B523" s="26" t="s">
        <v>740</v>
      </c>
      <c r="C523" s="24" t="s">
        <v>49</v>
      </c>
      <c r="D523" s="27">
        <v>2</v>
      </c>
      <c r="E523" s="93">
        <f>4.23*(1.184419)</f>
        <v>5.0100923700000006</v>
      </c>
      <c r="F523" s="93">
        <f>6.3*(1.184419)</f>
        <v>7.4618397000000005</v>
      </c>
      <c r="G523" s="93">
        <f>0.55*(1.184419)</f>
        <v>0.65143045000000011</v>
      </c>
      <c r="H523" s="104">
        <f t="shared" si="30"/>
        <v>13.123362520000001</v>
      </c>
      <c r="I523" s="105">
        <f t="shared" si="31"/>
        <v>26.246725040000001</v>
      </c>
    </row>
    <row r="524" spans="1:9" ht="28.2" thickBot="1" x14ac:dyDescent="0.35">
      <c r="A524" s="23" t="s">
        <v>902</v>
      </c>
      <c r="B524" s="26" t="s">
        <v>742</v>
      </c>
      <c r="C524" s="24" t="s">
        <v>49</v>
      </c>
      <c r="D524" s="27">
        <v>1</v>
      </c>
      <c r="E524" s="93">
        <f>6.75*(1.184419)</f>
        <v>7.9948282500000012</v>
      </c>
      <c r="F524" s="93">
        <f>7.24*(1.184419)</f>
        <v>8.5751935600000007</v>
      </c>
      <c r="G524" s="93">
        <f>0.64*(1.184419)</f>
        <v>0.75802816000000006</v>
      </c>
      <c r="H524" s="104">
        <f t="shared" si="30"/>
        <v>17.328049969999999</v>
      </c>
      <c r="I524" s="105">
        <f t="shared" si="31"/>
        <v>17.328049969999999</v>
      </c>
    </row>
    <row r="525" spans="1:9" ht="15" thickBot="1" x14ac:dyDescent="0.35">
      <c r="A525" s="23" t="s">
        <v>903</v>
      </c>
      <c r="B525" s="26" t="s">
        <v>904</v>
      </c>
      <c r="C525" s="24" t="s">
        <v>49</v>
      </c>
      <c r="D525" s="27">
        <v>2</v>
      </c>
      <c r="E525" s="93">
        <f>3.04*(1.184419)</f>
        <v>3.6006337600000005</v>
      </c>
      <c r="F525" s="93">
        <f>1.56*(1.184419)</f>
        <v>1.8476936400000001</v>
      </c>
      <c r="G525" s="93"/>
      <c r="H525" s="104">
        <f t="shared" si="30"/>
        <v>5.4483274000000002</v>
      </c>
      <c r="I525" s="105">
        <f t="shared" si="31"/>
        <v>10.8966548</v>
      </c>
    </row>
    <row r="526" spans="1:9" ht="15" thickBot="1" x14ac:dyDescent="0.35">
      <c r="A526" s="23" t="s">
        <v>905</v>
      </c>
      <c r="B526" s="26" t="s">
        <v>820</v>
      </c>
      <c r="C526" s="24" t="s">
        <v>49</v>
      </c>
      <c r="D526" s="27">
        <v>1</v>
      </c>
      <c r="E526" s="93">
        <f>8.73*(1.184419)</f>
        <v>10.339977870000002</v>
      </c>
      <c r="F526" s="93">
        <f>1.56*(1.184419)</f>
        <v>1.8476936400000001</v>
      </c>
      <c r="G526" s="93"/>
      <c r="H526" s="104">
        <f t="shared" si="30"/>
        <v>12.187671510000001</v>
      </c>
      <c r="I526" s="105">
        <f t="shared" si="31"/>
        <v>12.187671510000001</v>
      </c>
    </row>
    <row r="527" spans="1:9" ht="15" thickBot="1" x14ac:dyDescent="0.35">
      <c r="A527" s="30"/>
      <c r="B527" s="26"/>
      <c r="C527" s="26"/>
      <c r="D527" s="26"/>
      <c r="E527" s="93"/>
      <c r="F527" s="93"/>
      <c r="G527" s="93"/>
      <c r="H527" s="104">
        <f t="shared" si="30"/>
        <v>0</v>
      </c>
      <c r="I527" s="105">
        <f t="shared" si="31"/>
        <v>0</v>
      </c>
    </row>
    <row r="528" spans="1:9" ht="15" thickBot="1" x14ac:dyDescent="0.35">
      <c r="A528" s="34" t="s">
        <v>906</v>
      </c>
      <c r="B528" s="36" t="s">
        <v>907</v>
      </c>
      <c r="C528" s="35"/>
      <c r="D528" s="35"/>
      <c r="E528" s="35"/>
      <c r="F528" s="35"/>
      <c r="G528" s="35"/>
      <c r="H528" s="35"/>
      <c r="I528" s="117">
        <f>SUM(I529:I543)</f>
        <v>58126.084920590001</v>
      </c>
    </row>
    <row r="529" spans="1:9" ht="15" thickBot="1" x14ac:dyDescent="0.35">
      <c r="A529" s="23" t="s">
        <v>908</v>
      </c>
      <c r="B529" s="26" t="s">
        <v>776</v>
      </c>
      <c r="C529" s="24" t="s">
        <v>49</v>
      </c>
      <c r="D529" s="27">
        <v>34</v>
      </c>
      <c r="E529" s="93">
        <f>3.28*(1.184419)</f>
        <v>3.8848943200000003</v>
      </c>
      <c r="F529" s="93">
        <f>6.43*(1.184419)</f>
        <v>7.6158141700000002</v>
      </c>
      <c r="G529" s="93">
        <f>0.56*(1.184419)</f>
        <v>0.66327464000000014</v>
      </c>
      <c r="H529" s="104">
        <f t="shared" si="30"/>
        <v>12.163983130000002</v>
      </c>
      <c r="I529" s="105">
        <f t="shared" si="31"/>
        <v>413.57542642000004</v>
      </c>
    </row>
    <row r="530" spans="1:9" ht="28.2" thickBot="1" x14ac:dyDescent="0.35">
      <c r="A530" s="23" t="s">
        <v>909</v>
      </c>
      <c r="B530" s="26" t="s">
        <v>910</v>
      </c>
      <c r="C530" s="24" t="s">
        <v>135</v>
      </c>
      <c r="D530" s="27">
        <v>327</v>
      </c>
      <c r="E530" s="93">
        <f>12.4*(1.184419)</f>
        <v>14.686795600000002</v>
      </c>
      <c r="F530" s="93">
        <f>33.46*(1.184419)</f>
        <v>39.630659740000006</v>
      </c>
      <c r="G530" s="93"/>
      <c r="H530" s="104">
        <f t="shared" si="30"/>
        <v>54.317455340000009</v>
      </c>
      <c r="I530" s="105">
        <f t="shared" si="31"/>
        <v>17761.807896180002</v>
      </c>
    </row>
    <row r="531" spans="1:9" ht="15" thickBot="1" x14ac:dyDescent="0.35">
      <c r="A531" s="23" t="s">
        <v>911</v>
      </c>
      <c r="B531" s="26" t="s">
        <v>867</v>
      </c>
      <c r="C531" s="24" t="s">
        <v>135</v>
      </c>
      <c r="D531" s="27">
        <v>150</v>
      </c>
      <c r="E531" s="93">
        <f>30.61*(1.184419)</f>
        <v>36.255065590000001</v>
      </c>
      <c r="F531" s="93">
        <f>47.81*(1.184419)</f>
        <v>56.627072390000009</v>
      </c>
      <c r="G531" s="93"/>
      <c r="H531" s="104">
        <f t="shared" si="30"/>
        <v>92.88213798000001</v>
      </c>
      <c r="I531" s="105">
        <f t="shared" si="31"/>
        <v>13932.320697000001</v>
      </c>
    </row>
    <row r="532" spans="1:9" ht="42" thickBot="1" x14ac:dyDescent="0.35">
      <c r="A532" s="23" t="s">
        <v>912</v>
      </c>
      <c r="B532" s="26" t="s">
        <v>750</v>
      </c>
      <c r="C532" s="24" t="s">
        <v>49</v>
      </c>
      <c r="D532" s="27">
        <v>7</v>
      </c>
      <c r="E532" s="93">
        <f>24.73*(1.184419)</f>
        <v>29.290681870000004</v>
      </c>
      <c r="F532" s="93">
        <f>19.91*(1.184419)</f>
        <v>23.581782290000003</v>
      </c>
      <c r="G532" s="93">
        <f>1.74*(1.184419)</f>
        <v>2.0608890600000001</v>
      </c>
      <c r="H532" s="104">
        <f t="shared" si="30"/>
        <v>54.933353220000008</v>
      </c>
      <c r="I532" s="105">
        <f t="shared" si="31"/>
        <v>384.53347254000005</v>
      </c>
    </row>
    <row r="533" spans="1:9" ht="42" thickBot="1" x14ac:dyDescent="0.35">
      <c r="A533" s="23" t="s">
        <v>913</v>
      </c>
      <c r="B533" s="26" t="s">
        <v>748</v>
      </c>
      <c r="C533" s="24" t="s">
        <v>49</v>
      </c>
      <c r="D533" s="27">
        <v>37</v>
      </c>
      <c r="E533" s="93">
        <f>18.25*(1.184419)</f>
        <v>21.615646750000003</v>
      </c>
      <c r="F533" s="93">
        <f>16.03*(1.184419)</f>
        <v>18.986236570000003</v>
      </c>
      <c r="G533" s="93">
        <f>1.4*(1.184419)</f>
        <v>1.6581866000000001</v>
      </c>
      <c r="H533" s="104">
        <f t="shared" si="30"/>
        <v>42.260069920000007</v>
      </c>
      <c r="I533" s="105">
        <f t="shared" si="31"/>
        <v>1563.6225870400003</v>
      </c>
    </row>
    <row r="534" spans="1:9" ht="42" thickBot="1" x14ac:dyDescent="0.35">
      <c r="A534" s="23" t="s">
        <v>914</v>
      </c>
      <c r="B534" s="26" t="s">
        <v>915</v>
      </c>
      <c r="C534" s="24" t="s">
        <v>49</v>
      </c>
      <c r="D534" s="27">
        <v>29</v>
      </c>
      <c r="E534" s="93">
        <f>19.74*(1.184419)</f>
        <v>23.380431059999999</v>
      </c>
      <c r="F534" s="93">
        <f>15.19*(1.184419)</f>
        <v>17.991324609999999</v>
      </c>
      <c r="G534" s="93">
        <f>1.32*(1.184419)</f>
        <v>1.5634330800000003</v>
      </c>
      <c r="H534" s="104">
        <f t="shared" si="30"/>
        <v>42.935188750000002</v>
      </c>
      <c r="I534" s="105">
        <f t="shared" si="31"/>
        <v>1245.12047375</v>
      </c>
    </row>
    <row r="535" spans="1:9" ht="42" thickBot="1" x14ac:dyDescent="0.35">
      <c r="A535" s="23" t="s">
        <v>916</v>
      </c>
      <c r="B535" s="26" t="s">
        <v>915</v>
      </c>
      <c r="C535" s="24" t="s">
        <v>49</v>
      </c>
      <c r="D535" s="27">
        <v>29</v>
      </c>
      <c r="E535" s="93">
        <f>19.74*(1.184419)</f>
        <v>23.380431059999999</v>
      </c>
      <c r="F535" s="93">
        <f>15.19*(1.184419)</f>
        <v>17.991324609999999</v>
      </c>
      <c r="G535" s="93">
        <f>1.32*(1.184419)</f>
        <v>1.5634330800000003</v>
      </c>
      <c r="H535" s="104">
        <f t="shared" si="30"/>
        <v>42.935188750000002</v>
      </c>
      <c r="I535" s="105">
        <f t="shared" si="31"/>
        <v>1245.12047375</v>
      </c>
    </row>
    <row r="536" spans="1:9" ht="15" thickBot="1" x14ac:dyDescent="0.35">
      <c r="A536" s="23" t="s">
        <v>917</v>
      </c>
      <c r="B536" s="26" t="s">
        <v>872</v>
      </c>
      <c r="C536" s="24" t="s">
        <v>49</v>
      </c>
      <c r="D536" s="27">
        <v>14</v>
      </c>
      <c r="E536" s="93">
        <f>75.17*(1.184419)</f>
        <v>89.03277623000001</v>
      </c>
      <c r="F536" s="93">
        <f>20.33*(1.184419)</f>
        <v>24.079238270000001</v>
      </c>
      <c r="G536" s="93">
        <f>1.76*(1.184419)</f>
        <v>2.0845774400000003</v>
      </c>
      <c r="H536" s="104">
        <f t="shared" si="30"/>
        <v>115.19659194000002</v>
      </c>
      <c r="I536" s="105">
        <f t="shared" si="31"/>
        <v>1612.7522871600004</v>
      </c>
    </row>
    <row r="537" spans="1:9" ht="15" thickBot="1" x14ac:dyDescent="0.35">
      <c r="A537" s="23" t="s">
        <v>918</v>
      </c>
      <c r="B537" s="26" t="s">
        <v>919</v>
      </c>
      <c r="C537" s="24" t="s">
        <v>49</v>
      </c>
      <c r="D537" s="27">
        <v>4</v>
      </c>
      <c r="E537" s="93">
        <f>47.85*(1.184419)</f>
        <v>56.674449150000008</v>
      </c>
      <c r="F537" s="93">
        <f>11.9*(1.184419)</f>
        <v>14.094586100000003</v>
      </c>
      <c r="G537" s="93">
        <f>0.91*(1.184419)</f>
        <v>1.0778212900000002</v>
      </c>
      <c r="H537" s="104">
        <f t="shared" si="30"/>
        <v>71.846856540000019</v>
      </c>
      <c r="I537" s="105">
        <f t="shared" si="31"/>
        <v>287.38742616000008</v>
      </c>
    </row>
    <row r="538" spans="1:9" ht="15" thickBot="1" x14ac:dyDescent="0.35">
      <c r="A538" s="23" t="s">
        <v>920</v>
      </c>
      <c r="B538" s="26" t="s">
        <v>921</v>
      </c>
      <c r="C538" s="24" t="s">
        <v>49</v>
      </c>
      <c r="D538" s="27">
        <v>8</v>
      </c>
      <c r="E538" s="93">
        <f>50.68*(1.184419)</f>
        <v>60.026354920000003</v>
      </c>
      <c r="F538" s="93">
        <f>14.94*(1.184419)</f>
        <v>17.695219860000002</v>
      </c>
      <c r="G538" s="93">
        <f>0.04*(1.184419)</f>
        <v>4.7376760000000004E-2</v>
      </c>
      <c r="H538" s="104">
        <f t="shared" si="30"/>
        <v>77.768951540000003</v>
      </c>
      <c r="I538" s="105">
        <f t="shared" si="31"/>
        <v>622.15161232000003</v>
      </c>
    </row>
    <row r="539" spans="1:9" ht="15" thickBot="1" x14ac:dyDescent="0.35">
      <c r="A539" s="23" t="s">
        <v>922</v>
      </c>
      <c r="B539" s="26" t="s">
        <v>923</v>
      </c>
      <c r="C539" s="24" t="s">
        <v>49</v>
      </c>
      <c r="D539" s="27">
        <v>1</v>
      </c>
      <c r="E539" s="93">
        <f>30.01*(1.184419)</f>
        <v>35.544414190000005</v>
      </c>
      <c r="F539" s="93">
        <f>16.15*(1.184419)</f>
        <v>19.128366849999999</v>
      </c>
      <c r="G539" s="93">
        <f>0.04*(1.184419)</f>
        <v>4.7376760000000004E-2</v>
      </c>
      <c r="H539" s="104">
        <f t="shared" si="30"/>
        <v>54.720157800000003</v>
      </c>
      <c r="I539" s="105">
        <f t="shared" si="31"/>
        <v>54.720157800000003</v>
      </c>
    </row>
    <row r="540" spans="1:9" ht="15" thickBot="1" x14ac:dyDescent="0.35">
      <c r="A540" s="23" t="s">
        <v>924</v>
      </c>
      <c r="B540" s="26" t="s">
        <v>925</v>
      </c>
      <c r="C540" s="24" t="s">
        <v>49</v>
      </c>
      <c r="D540" s="27">
        <v>1</v>
      </c>
      <c r="E540" s="93">
        <f>26.59*(1.184419)</f>
        <v>31.493701210000001</v>
      </c>
      <c r="F540" s="93">
        <f>18.17*(1.184419)</f>
        <v>21.520893230000006</v>
      </c>
      <c r="G540" s="93">
        <f>0.05*(1.184419)</f>
        <v>5.9220950000000008E-2</v>
      </c>
      <c r="H540" s="104">
        <f t="shared" si="30"/>
        <v>53.073815390000007</v>
      </c>
      <c r="I540" s="105">
        <f t="shared" si="31"/>
        <v>53.073815390000007</v>
      </c>
    </row>
    <row r="541" spans="1:9" ht="28.2" thickBot="1" x14ac:dyDescent="0.35">
      <c r="A541" s="23" t="s">
        <v>926</v>
      </c>
      <c r="B541" s="26" t="s">
        <v>742</v>
      </c>
      <c r="C541" s="24" t="s">
        <v>49</v>
      </c>
      <c r="D541" s="27">
        <v>1</v>
      </c>
      <c r="E541" s="93">
        <f>6.75*(1.184419)</f>
        <v>7.9948282500000012</v>
      </c>
      <c r="F541" s="93">
        <f>7.24*(1.184419)</f>
        <v>8.5751935600000007</v>
      </c>
      <c r="G541" s="93">
        <f>0.64*(1.184419)</f>
        <v>0.75802816000000006</v>
      </c>
      <c r="H541" s="104">
        <f t="shared" si="30"/>
        <v>17.328049969999999</v>
      </c>
      <c r="I541" s="105">
        <f t="shared" si="31"/>
        <v>17.328049969999999</v>
      </c>
    </row>
    <row r="542" spans="1:9" ht="15" thickBot="1" x14ac:dyDescent="0.35">
      <c r="A542" s="23" t="s">
        <v>927</v>
      </c>
      <c r="B542" s="26" t="s">
        <v>820</v>
      </c>
      <c r="C542" s="24" t="s">
        <v>49</v>
      </c>
      <c r="D542" s="27">
        <v>1</v>
      </c>
      <c r="E542" s="93">
        <f>8.73*(1.184419)</f>
        <v>10.339977870000002</v>
      </c>
      <c r="F542" s="93">
        <f>1.56*(1.184419)</f>
        <v>1.8476936400000001</v>
      </c>
      <c r="G542" s="93"/>
      <c r="H542" s="104">
        <f t="shared" si="30"/>
        <v>12.187671510000001</v>
      </c>
      <c r="I542" s="105">
        <f t="shared" si="31"/>
        <v>12.187671510000001</v>
      </c>
    </row>
    <row r="543" spans="1:9" ht="15" thickBot="1" x14ac:dyDescent="0.35">
      <c r="A543" s="23" t="s">
        <v>928</v>
      </c>
      <c r="B543" s="26" t="s">
        <v>929</v>
      </c>
      <c r="C543" s="24" t="s">
        <v>49</v>
      </c>
      <c r="D543" s="27">
        <v>60</v>
      </c>
      <c r="E543" s="93">
        <f>110.67*(1.184419)</f>
        <v>131.07965073000003</v>
      </c>
      <c r="F543" s="93">
        <f>143.2*(1.184419)</f>
        <v>169.60880080000001</v>
      </c>
      <c r="G543" s="93">
        <f>12.37*(1.184419)</f>
        <v>14.651263030000001</v>
      </c>
      <c r="H543" s="104">
        <f t="shared" si="30"/>
        <v>315.33971456000006</v>
      </c>
      <c r="I543" s="105">
        <f t="shared" si="31"/>
        <v>18920.382873600003</v>
      </c>
    </row>
    <row r="544" spans="1:9" ht="15" thickBot="1" x14ac:dyDescent="0.35">
      <c r="A544" s="30"/>
      <c r="B544" s="26"/>
      <c r="C544" s="26"/>
      <c r="D544" s="26"/>
      <c r="E544" s="93"/>
      <c r="F544" s="93"/>
      <c r="G544" s="93"/>
      <c r="H544" s="104"/>
      <c r="I544" s="105"/>
    </row>
    <row r="545" spans="1:9" ht="15" thickBot="1" x14ac:dyDescent="0.35">
      <c r="A545" s="34" t="s">
        <v>930</v>
      </c>
      <c r="B545" s="36" t="s">
        <v>931</v>
      </c>
      <c r="C545" s="35"/>
      <c r="D545" s="35"/>
      <c r="E545" s="35"/>
      <c r="F545" s="35"/>
      <c r="G545" s="35"/>
      <c r="H545" s="35"/>
      <c r="I545" s="117">
        <f>SUM(I546:I554)</f>
        <v>2448.1585404300004</v>
      </c>
    </row>
    <row r="546" spans="1:9" ht="15" thickBot="1" x14ac:dyDescent="0.35">
      <c r="A546" s="23" t="s">
        <v>932</v>
      </c>
      <c r="B546" s="26" t="s">
        <v>776</v>
      </c>
      <c r="C546" s="24" t="s">
        <v>49</v>
      </c>
      <c r="D546" s="27">
        <v>5</v>
      </c>
      <c r="E546" s="93">
        <f>3.28*(1.184419)</f>
        <v>3.8848943200000003</v>
      </c>
      <c r="F546" s="93">
        <f>6.43*(1.184419)</f>
        <v>7.6158141700000002</v>
      </c>
      <c r="G546" s="93">
        <f>0.56*(1.184419)</f>
        <v>0.66327464000000014</v>
      </c>
      <c r="H546" s="104">
        <f t="shared" si="30"/>
        <v>12.163983130000002</v>
      </c>
      <c r="I546" s="105">
        <f t="shared" si="31"/>
        <v>60.819915650000013</v>
      </c>
    </row>
    <row r="547" spans="1:9" ht="42" thickBot="1" x14ac:dyDescent="0.35">
      <c r="A547" s="23" t="s">
        <v>933</v>
      </c>
      <c r="B547" s="26" t="s">
        <v>792</v>
      </c>
      <c r="C547" s="24" t="s">
        <v>135</v>
      </c>
      <c r="D547" s="27">
        <v>30</v>
      </c>
      <c r="E547" s="93">
        <f>23.25*(1.184419)</f>
        <v>27.537741750000002</v>
      </c>
      <c r="F547" s="93">
        <f>8.18*(1.184419)</f>
        <v>9.6885474200000008</v>
      </c>
      <c r="G547" s="93">
        <f>0.65*(1.184419)</f>
        <v>0.76987235000000009</v>
      </c>
      <c r="H547" s="104">
        <f t="shared" si="30"/>
        <v>37.996161520000001</v>
      </c>
      <c r="I547" s="105">
        <f t="shared" si="31"/>
        <v>1139.8848456000001</v>
      </c>
    </row>
    <row r="548" spans="1:9" ht="42" thickBot="1" x14ac:dyDescent="0.35">
      <c r="A548" s="23" t="s">
        <v>934</v>
      </c>
      <c r="B548" s="26" t="s">
        <v>935</v>
      </c>
      <c r="C548" s="24" t="s">
        <v>49</v>
      </c>
      <c r="D548" s="27">
        <v>8</v>
      </c>
      <c r="E548" s="93">
        <f>18.91*(1.184419)</f>
        <v>22.397363290000001</v>
      </c>
      <c r="F548" s="93">
        <f>4.69*(1.184419)</f>
        <v>5.554925110000001</v>
      </c>
      <c r="G548" s="93">
        <f>0.28*(1.184419)</f>
        <v>0.33163732000000007</v>
      </c>
      <c r="H548" s="104">
        <f t="shared" si="30"/>
        <v>28.283925719999999</v>
      </c>
      <c r="I548" s="105">
        <f t="shared" si="31"/>
        <v>226.27140575999999</v>
      </c>
    </row>
    <row r="549" spans="1:9" ht="42" thickBot="1" x14ac:dyDescent="0.35">
      <c r="A549" s="23" t="s">
        <v>936</v>
      </c>
      <c r="B549" s="26" t="s">
        <v>823</v>
      </c>
      <c r="C549" s="24" t="s">
        <v>135</v>
      </c>
      <c r="D549" s="27">
        <v>12</v>
      </c>
      <c r="E549" s="93">
        <f>9.71*(1.184419)</f>
        <v>11.500708490000003</v>
      </c>
      <c r="F549" s="93">
        <f>5.65*(1.184419)</f>
        <v>6.6919673500000014</v>
      </c>
      <c r="G549" s="93">
        <f>0.44*(1.184419)</f>
        <v>0.52114436000000008</v>
      </c>
      <c r="H549" s="104">
        <f t="shared" si="30"/>
        <v>18.713820200000004</v>
      </c>
      <c r="I549" s="105">
        <f t="shared" si="31"/>
        <v>224.56584240000007</v>
      </c>
    </row>
    <row r="550" spans="1:9" ht="28.2" thickBot="1" x14ac:dyDescent="0.35">
      <c r="A550" s="23" t="s">
        <v>937</v>
      </c>
      <c r="B550" s="26" t="s">
        <v>740</v>
      </c>
      <c r="C550" s="24" t="s">
        <v>49</v>
      </c>
      <c r="D550" s="27">
        <v>17</v>
      </c>
      <c r="E550" s="93">
        <f>4.23*(1.184419)</f>
        <v>5.0100923700000006</v>
      </c>
      <c r="F550" s="93">
        <f>6.3*(1.184419)</f>
        <v>7.4618397000000005</v>
      </c>
      <c r="G550" s="93">
        <f>0.55*(1.184419)</f>
        <v>0.65143045000000011</v>
      </c>
      <c r="H550" s="104">
        <f t="shared" si="30"/>
        <v>13.123362520000001</v>
      </c>
      <c r="I550" s="105">
        <f t="shared" si="31"/>
        <v>223.09716284000001</v>
      </c>
    </row>
    <row r="551" spans="1:9" ht="15" thickBot="1" x14ac:dyDescent="0.35">
      <c r="A551" s="23" t="s">
        <v>938</v>
      </c>
      <c r="B551" s="26" t="s">
        <v>764</v>
      </c>
      <c r="C551" s="24" t="s">
        <v>49</v>
      </c>
      <c r="D551" s="27">
        <v>3</v>
      </c>
      <c r="E551" s="93">
        <f>36.89*(1.184419)</f>
        <v>43.693216910000004</v>
      </c>
      <c r="F551" s="93">
        <f>38.25*(1.184419)</f>
        <v>45.304026750000006</v>
      </c>
      <c r="G551" s="93"/>
      <c r="H551" s="104">
        <f t="shared" si="30"/>
        <v>88.997243660000009</v>
      </c>
      <c r="I551" s="105">
        <f t="shared" si="31"/>
        <v>266.99173098000006</v>
      </c>
    </row>
    <row r="552" spans="1:9" ht="28.2" thickBot="1" x14ac:dyDescent="0.35">
      <c r="A552" s="23" t="s">
        <v>939</v>
      </c>
      <c r="B552" s="26" t="s">
        <v>940</v>
      </c>
      <c r="C552" s="24" t="s">
        <v>49</v>
      </c>
      <c r="D552" s="27">
        <v>5</v>
      </c>
      <c r="E552" s="93">
        <f>10.92*(1.184419)</f>
        <v>12.933855480000002</v>
      </c>
      <c r="F552" s="93">
        <f>12.12*(1.184419)</f>
        <v>14.355158280000001</v>
      </c>
      <c r="G552" s="93">
        <f>0.03*(1.184419)</f>
        <v>3.5532569999999999E-2</v>
      </c>
      <c r="H552" s="104">
        <f t="shared" si="30"/>
        <v>27.324546330000004</v>
      </c>
      <c r="I552" s="105">
        <f t="shared" si="31"/>
        <v>136.62273165000002</v>
      </c>
    </row>
    <row r="553" spans="1:9" ht="15" thickBot="1" x14ac:dyDescent="0.35">
      <c r="A553" s="23" t="s">
        <v>941</v>
      </c>
      <c r="B553" s="26" t="s">
        <v>904</v>
      </c>
      <c r="C553" s="24" t="s">
        <v>49</v>
      </c>
      <c r="D553" s="27">
        <v>20</v>
      </c>
      <c r="E553" s="93">
        <f>3.04*(1.184419)</f>
        <v>3.6006337600000005</v>
      </c>
      <c r="F553" s="93">
        <f>1.56*(1.184419)</f>
        <v>1.8476936400000001</v>
      </c>
      <c r="G553" s="93"/>
      <c r="H553" s="104">
        <f t="shared" si="30"/>
        <v>5.4483274000000002</v>
      </c>
      <c r="I553" s="105">
        <f t="shared" si="31"/>
        <v>108.966548</v>
      </c>
    </row>
    <row r="554" spans="1:9" ht="15" thickBot="1" x14ac:dyDescent="0.35">
      <c r="A554" s="23" t="s">
        <v>942</v>
      </c>
      <c r="B554" s="26" t="s">
        <v>820</v>
      </c>
      <c r="C554" s="24" t="s">
        <v>49</v>
      </c>
      <c r="D554" s="27">
        <v>5</v>
      </c>
      <c r="E554" s="93">
        <f>8.73*(1.184419)</f>
        <v>10.339977870000002</v>
      </c>
      <c r="F554" s="93">
        <f>1.56*(1.184419)</f>
        <v>1.8476936400000001</v>
      </c>
      <c r="G554" s="93"/>
      <c r="H554" s="104">
        <f t="shared" si="30"/>
        <v>12.187671510000001</v>
      </c>
      <c r="I554" s="105">
        <f t="shared" si="31"/>
        <v>60.938357550000006</v>
      </c>
    </row>
    <row r="555" spans="1:9" ht="15" thickBot="1" x14ac:dyDescent="0.35">
      <c r="A555" s="30"/>
      <c r="B555" s="26"/>
      <c r="C555" s="26"/>
      <c r="D555" s="26"/>
      <c r="E555" s="93"/>
      <c r="F555" s="93"/>
      <c r="G555" s="93"/>
      <c r="H555" s="104"/>
      <c r="I555" s="105"/>
    </row>
    <row r="556" spans="1:9" ht="15" thickBot="1" x14ac:dyDescent="0.35">
      <c r="A556" s="34" t="s">
        <v>943</v>
      </c>
      <c r="B556" s="36" t="s">
        <v>944</v>
      </c>
      <c r="C556" s="35"/>
      <c r="D556" s="35"/>
      <c r="E556" s="35"/>
      <c r="F556" s="35"/>
      <c r="G556" s="35"/>
      <c r="H556" s="35"/>
      <c r="I556" s="117">
        <f>SUM(I557:I573)</f>
        <v>1153.6004176200001</v>
      </c>
    </row>
    <row r="557" spans="1:9" ht="15" thickBot="1" x14ac:dyDescent="0.35">
      <c r="A557" s="23" t="s">
        <v>945</v>
      </c>
      <c r="B557" s="26" t="s">
        <v>820</v>
      </c>
      <c r="C557" s="24" t="s">
        <v>49</v>
      </c>
      <c r="D557" s="27">
        <v>2</v>
      </c>
      <c r="E557" s="93">
        <f>8.73*(1.184419)</f>
        <v>10.339977870000002</v>
      </c>
      <c r="F557" s="93">
        <f>1.56*(1.184419)</f>
        <v>1.8476936400000001</v>
      </c>
      <c r="G557" s="93"/>
      <c r="H557" s="104">
        <f t="shared" si="30"/>
        <v>12.187671510000001</v>
      </c>
      <c r="I557" s="105">
        <f t="shared" si="31"/>
        <v>24.375343020000003</v>
      </c>
    </row>
    <row r="558" spans="1:9" ht="28.2" thickBot="1" x14ac:dyDescent="0.35">
      <c r="A558" s="23" t="s">
        <v>946</v>
      </c>
      <c r="B558" s="26" t="s">
        <v>742</v>
      </c>
      <c r="C558" s="24" t="s">
        <v>49</v>
      </c>
      <c r="D558" s="27">
        <v>2</v>
      </c>
      <c r="E558" s="93">
        <f>6.75*(1.184419)</f>
        <v>7.9948282500000012</v>
      </c>
      <c r="F558" s="93">
        <f>7.24*(1.184419)</f>
        <v>8.5751935600000007</v>
      </c>
      <c r="G558" s="93">
        <f>0.64*(1.184419)</f>
        <v>0.75802816000000006</v>
      </c>
      <c r="H558" s="104">
        <f t="shared" si="30"/>
        <v>17.328049969999999</v>
      </c>
      <c r="I558" s="105">
        <f t="shared" si="31"/>
        <v>34.656099939999997</v>
      </c>
    </row>
    <row r="559" spans="1:9" ht="42" thickBot="1" x14ac:dyDescent="0.35">
      <c r="A559" s="23" t="s">
        <v>947</v>
      </c>
      <c r="B559" s="26" t="s">
        <v>900</v>
      </c>
      <c r="C559" s="24" t="s">
        <v>135</v>
      </c>
      <c r="D559" s="27">
        <v>8</v>
      </c>
      <c r="E559" s="93">
        <f>6.12*(1.184419)</f>
        <v>7.2486442800000006</v>
      </c>
      <c r="F559" s="93">
        <f>4.8*(1.184419)</f>
        <v>5.6852112000000004</v>
      </c>
      <c r="G559" s="93">
        <f>0.36*(1.184419)</f>
        <v>0.42639084000000005</v>
      </c>
      <c r="H559" s="104">
        <f t="shared" si="30"/>
        <v>13.360246320000002</v>
      </c>
      <c r="I559" s="105">
        <f t="shared" si="31"/>
        <v>106.88197056000001</v>
      </c>
    </row>
    <row r="560" spans="1:9" ht="15" thickBot="1" x14ac:dyDescent="0.35">
      <c r="A560" s="23" t="s">
        <v>948</v>
      </c>
      <c r="B560" s="31" t="s">
        <v>949</v>
      </c>
      <c r="C560" s="24" t="s">
        <v>49</v>
      </c>
      <c r="D560" s="32">
        <v>2</v>
      </c>
      <c r="E560" s="93">
        <f>20.86*(1.184419)</f>
        <v>24.706980340000001</v>
      </c>
      <c r="F560" s="93">
        <f>14.34*(1.184419)</f>
        <v>16.984568460000002</v>
      </c>
      <c r="G560" s="93"/>
      <c r="H560" s="104">
        <f t="shared" si="30"/>
        <v>41.691548800000007</v>
      </c>
      <c r="I560" s="105">
        <f t="shared" si="31"/>
        <v>83.383097600000013</v>
      </c>
    </row>
    <row r="561" spans="1:9" ht="42" thickBot="1" x14ac:dyDescent="0.35">
      <c r="A561" s="23" t="s">
        <v>950</v>
      </c>
      <c r="B561" s="26" t="s">
        <v>794</v>
      </c>
      <c r="C561" s="24" t="s">
        <v>49</v>
      </c>
      <c r="D561" s="27">
        <v>3</v>
      </c>
      <c r="E561" s="93">
        <f>35.87*(1.184419)</f>
        <v>42.485109530000003</v>
      </c>
      <c r="F561" s="93">
        <f>19.97*(1.184419)</f>
        <v>23.652847430000001</v>
      </c>
      <c r="G561" s="93">
        <f>1.52*(1.184419)</f>
        <v>1.8003168800000002</v>
      </c>
      <c r="H561" s="104">
        <f t="shared" si="30"/>
        <v>67.938273839999994</v>
      </c>
      <c r="I561" s="105">
        <f t="shared" si="31"/>
        <v>203.81482151999998</v>
      </c>
    </row>
    <row r="562" spans="1:9" ht="42" thickBot="1" x14ac:dyDescent="0.35">
      <c r="A562" s="23" t="s">
        <v>951</v>
      </c>
      <c r="B562" s="26" t="s">
        <v>790</v>
      </c>
      <c r="C562" s="24" t="s">
        <v>135</v>
      </c>
      <c r="D562" s="27">
        <v>8</v>
      </c>
      <c r="E562" s="93">
        <f>18.48*(1.184419)</f>
        <v>21.888063120000002</v>
      </c>
      <c r="F562" s="93">
        <f>6.83*(1.184419)</f>
        <v>8.0895817700000006</v>
      </c>
      <c r="G562" s="93">
        <f>0.53*(1.184419)</f>
        <v>0.62774207000000004</v>
      </c>
      <c r="H562" s="104">
        <f t="shared" si="30"/>
        <v>30.605386960000001</v>
      </c>
      <c r="I562" s="105">
        <f t="shared" si="31"/>
        <v>244.84309568</v>
      </c>
    </row>
    <row r="563" spans="1:9" ht="42" thickBot="1" x14ac:dyDescent="0.35">
      <c r="A563" s="23" t="s">
        <v>952</v>
      </c>
      <c r="B563" s="26" t="s">
        <v>953</v>
      </c>
      <c r="C563" s="24" t="s">
        <v>49</v>
      </c>
      <c r="D563" s="27">
        <v>2</v>
      </c>
      <c r="E563" s="93">
        <f>2.18*(1.184419)</f>
        <v>2.5820334200000006</v>
      </c>
      <c r="F563" s="93">
        <f>1.31*(1.184419)</f>
        <v>1.5515888900000001</v>
      </c>
      <c r="G563" s="93"/>
      <c r="H563" s="104">
        <f t="shared" si="30"/>
        <v>4.1336223100000007</v>
      </c>
      <c r="I563" s="105">
        <f t="shared" si="31"/>
        <v>8.2672446200000014</v>
      </c>
    </row>
    <row r="564" spans="1:9" ht="15" thickBot="1" x14ac:dyDescent="0.35">
      <c r="A564" s="23" t="s">
        <v>954</v>
      </c>
      <c r="B564" s="26" t="s">
        <v>955</v>
      </c>
      <c r="C564" s="24" t="s">
        <v>49</v>
      </c>
      <c r="D564" s="27">
        <v>2</v>
      </c>
      <c r="E564" s="93">
        <f>3.53*(1.184419)</f>
        <v>4.1809990700000004</v>
      </c>
      <c r="F564" s="93">
        <f>9.02*(1.184419)</f>
        <v>10.68345938</v>
      </c>
      <c r="G564" s="93">
        <f>0.78*(1.184419)</f>
        <v>0.92384682000000007</v>
      </c>
      <c r="H564" s="104">
        <f t="shared" si="30"/>
        <v>15.78830527</v>
      </c>
      <c r="I564" s="105">
        <f t="shared" si="31"/>
        <v>31.576610540000001</v>
      </c>
    </row>
    <row r="565" spans="1:9" ht="15" thickBot="1" x14ac:dyDescent="0.35">
      <c r="A565" s="23" t="s">
        <v>956</v>
      </c>
      <c r="B565" s="26" t="s">
        <v>780</v>
      </c>
      <c r="C565" s="24" t="s">
        <v>49</v>
      </c>
      <c r="D565" s="27">
        <v>2</v>
      </c>
      <c r="E565" s="93">
        <f>8.07*(1.184419)</f>
        <v>9.5582613300000006</v>
      </c>
      <c r="F565" s="93">
        <f>10.97*(1.184419)</f>
        <v>12.993076430000002</v>
      </c>
      <c r="G565" s="93">
        <f>0.96*(1.184419)</f>
        <v>1.13704224</v>
      </c>
      <c r="H565" s="104">
        <f t="shared" si="30"/>
        <v>23.688380000000002</v>
      </c>
      <c r="I565" s="105">
        <f t="shared" si="31"/>
        <v>47.376760000000004</v>
      </c>
    </row>
    <row r="566" spans="1:9" ht="28.2" thickBot="1" x14ac:dyDescent="0.35">
      <c r="A566" s="23" t="s">
        <v>957</v>
      </c>
      <c r="B566" s="26" t="s">
        <v>835</v>
      </c>
      <c r="C566" s="24" t="s">
        <v>49</v>
      </c>
      <c r="D566" s="27">
        <v>4</v>
      </c>
      <c r="E566" s="93">
        <f>0.97*(1.184419)</f>
        <v>1.1488864300000001</v>
      </c>
      <c r="F566" s="93">
        <f>4.04*(1.184419)</f>
        <v>4.7850527600000001</v>
      </c>
      <c r="G566" s="93">
        <f>0.01*(1.184419)</f>
        <v>1.1844190000000001E-2</v>
      </c>
      <c r="H566" s="104">
        <f t="shared" si="30"/>
        <v>5.94578338</v>
      </c>
      <c r="I566" s="105">
        <f t="shared" si="31"/>
        <v>23.78313352</v>
      </c>
    </row>
    <row r="567" spans="1:9" ht="15" thickBot="1" x14ac:dyDescent="0.35">
      <c r="A567" s="23" t="s">
        <v>958</v>
      </c>
      <c r="B567" s="26" t="s">
        <v>959</v>
      </c>
      <c r="C567" s="24" t="s">
        <v>90</v>
      </c>
      <c r="D567" s="27">
        <v>4</v>
      </c>
      <c r="E567" s="93">
        <f>0.78*(1.184419)</f>
        <v>0.92384682000000007</v>
      </c>
      <c r="F567" s="93">
        <f>2.49*(1.184419)</f>
        <v>2.9492033100000006</v>
      </c>
      <c r="G567" s="93">
        <f>0.19*(1.184419)</f>
        <v>0.22503961000000003</v>
      </c>
      <c r="H567" s="104">
        <f t="shared" si="30"/>
        <v>4.0980897400000007</v>
      </c>
      <c r="I567" s="105">
        <f t="shared" si="31"/>
        <v>16.392358960000003</v>
      </c>
    </row>
    <row r="568" spans="1:9" ht="42" thickBot="1" x14ac:dyDescent="0.35">
      <c r="A568" s="23" t="s">
        <v>960</v>
      </c>
      <c r="B568" s="26" t="s">
        <v>900</v>
      </c>
      <c r="C568" s="24" t="s">
        <v>135</v>
      </c>
      <c r="D568" s="27">
        <v>6</v>
      </c>
      <c r="E568" s="93">
        <f>6.12*(1.184419)</f>
        <v>7.2486442800000006</v>
      </c>
      <c r="F568" s="93">
        <f>4.8*(1.184419)</f>
        <v>5.6852112000000004</v>
      </c>
      <c r="G568" s="93">
        <f>0.36*(1.184419)</f>
        <v>0.42639084000000005</v>
      </c>
      <c r="H568" s="104">
        <f t="shared" si="30"/>
        <v>13.360246320000002</v>
      </c>
      <c r="I568" s="105">
        <f t="shared" si="31"/>
        <v>80.16147792000001</v>
      </c>
    </row>
    <row r="569" spans="1:9" ht="42" thickBot="1" x14ac:dyDescent="0.35">
      <c r="A569" s="23" t="s">
        <v>961</v>
      </c>
      <c r="B569" s="26" t="s">
        <v>962</v>
      </c>
      <c r="C569" s="24" t="s">
        <v>135</v>
      </c>
      <c r="D569" s="27">
        <v>6</v>
      </c>
      <c r="E569" s="93">
        <f>8.27*(1.184419)</f>
        <v>9.7951451299999999</v>
      </c>
      <c r="F569" s="93">
        <f>2.86*(1.184419)</f>
        <v>3.3874383400000001</v>
      </c>
      <c r="G569" s="93">
        <f>0.24*(1.184419)</f>
        <v>0.28426056</v>
      </c>
      <c r="H569" s="104">
        <f t="shared" si="30"/>
        <v>13.466844030000001</v>
      </c>
      <c r="I569" s="105">
        <f t="shared" si="31"/>
        <v>80.801064179999997</v>
      </c>
    </row>
    <row r="570" spans="1:9" ht="28.2" thickBot="1" x14ac:dyDescent="0.35">
      <c r="A570" s="23" t="s">
        <v>963</v>
      </c>
      <c r="B570" s="26" t="s">
        <v>742</v>
      </c>
      <c r="C570" s="24" t="s">
        <v>49</v>
      </c>
      <c r="D570" s="27">
        <v>1</v>
      </c>
      <c r="E570" s="93">
        <f>6.75*(1.184419)</f>
        <v>7.9948282500000012</v>
      </c>
      <c r="F570" s="93">
        <f>7.24*(1.184419)</f>
        <v>8.5751935600000007</v>
      </c>
      <c r="G570" s="93">
        <f>0.64*(1.184419)</f>
        <v>0.75802816000000006</v>
      </c>
      <c r="H570" s="104">
        <f t="shared" si="30"/>
        <v>17.328049969999999</v>
      </c>
      <c r="I570" s="105">
        <f t="shared" si="31"/>
        <v>17.328049969999999</v>
      </c>
    </row>
    <row r="571" spans="1:9" ht="15" thickBot="1" x14ac:dyDescent="0.35">
      <c r="A571" s="23" t="s">
        <v>964</v>
      </c>
      <c r="B571" s="26" t="s">
        <v>764</v>
      </c>
      <c r="C571" s="24" t="s">
        <v>49</v>
      </c>
      <c r="D571" s="27">
        <v>1</v>
      </c>
      <c r="E571" s="93">
        <f>36.89*(1.184419)</f>
        <v>43.693216910000004</v>
      </c>
      <c r="F571" s="93">
        <f>38.25*(1.184419)</f>
        <v>45.304026750000006</v>
      </c>
      <c r="G571" s="93"/>
      <c r="H571" s="104">
        <f t="shared" si="30"/>
        <v>88.997243660000009</v>
      </c>
      <c r="I571" s="105">
        <f t="shared" si="31"/>
        <v>88.997243660000009</v>
      </c>
    </row>
    <row r="572" spans="1:9" ht="15" thickBot="1" x14ac:dyDescent="0.35">
      <c r="A572" s="23" t="s">
        <v>965</v>
      </c>
      <c r="B572" s="26" t="s">
        <v>820</v>
      </c>
      <c r="C572" s="24" t="s">
        <v>49</v>
      </c>
      <c r="D572" s="27">
        <v>1</v>
      </c>
      <c r="E572" s="93">
        <f>8.73*(1.184419)</f>
        <v>10.339977870000002</v>
      </c>
      <c r="F572" s="93">
        <f>1.56*(1.184419)</f>
        <v>1.8476936400000001</v>
      </c>
      <c r="G572" s="93"/>
      <c r="H572" s="104">
        <f t="shared" si="30"/>
        <v>12.187671510000001</v>
      </c>
      <c r="I572" s="105">
        <f t="shared" si="31"/>
        <v>12.187671510000001</v>
      </c>
    </row>
    <row r="573" spans="1:9" ht="15" thickBot="1" x14ac:dyDescent="0.35">
      <c r="A573" s="23" t="s">
        <v>966</v>
      </c>
      <c r="B573" s="26" t="s">
        <v>967</v>
      </c>
      <c r="C573" s="24" t="s">
        <v>49</v>
      </c>
      <c r="D573" s="27">
        <v>2</v>
      </c>
      <c r="E573" s="93">
        <f>11.03*(1.184419)</f>
        <v>13.06414157</v>
      </c>
      <c r="F573" s="93">
        <f>9.56*(1.184419)</f>
        <v>11.323045640000002</v>
      </c>
      <c r="G573" s="93"/>
      <c r="H573" s="104">
        <f t="shared" si="30"/>
        <v>24.38718721</v>
      </c>
      <c r="I573" s="105">
        <f t="shared" si="31"/>
        <v>48.774374420000001</v>
      </c>
    </row>
    <row r="574" spans="1:9" ht="15" thickBot="1" x14ac:dyDescent="0.35">
      <c r="A574" s="30"/>
      <c r="B574" s="26"/>
      <c r="C574" s="26"/>
      <c r="D574" s="26"/>
      <c r="E574" s="93"/>
      <c r="F574" s="93"/>
      <c r="G574" s="93"/>
      <c r="H574" s="104"/>
      <c r="I574" s="105"/>
    </row>
    <row r="575" spans="1:9" ht="15" thickBot="1" x14ac:dyDescent="0.35">
      <c r="A575" s="34" t="s">
        <v>968</v>
      </c>
      <c r="B575" s="36" t="s">
        <v>969</v>
      </c>
      <c r="C575" s="35"/>
      <c r="D575" s="35"/>
      <c r="E575" s="35"/>
      <c r="F575" s="35"/>
      <c r="G575" s="35"/>
      <c r="H575" s="35"/>
      <c r="I575" s="117">
        <f>SUM(I576:I613)</f>
        <v>265028.91181320004</v>
      </c>
    </row>
    <row r="576" spans="1:9" ht="15" thickBot="1" x14ac:dyDescent="0.35">
      <c r="A576" s="23" t="s">
        <v>970</v>
      </c>
      <c r="B576" s="26" t="s">
        <v>971</v>
      </c>
      <c r="C576" s="24" t="s">
        <v>49</v>
      </c>
      <c r="D576" s="27">
        <v>22</v>
      </c>
      <c r="E576" s="93">
        <f>207.73*(1.184419)</f>
        <v>246.03935887</v>
      </c>
      <c r="F576" s="93">
        <f>47.81*(1.184419)</f>
        <v>56.627072390000009</v>
      </c>
      <c r="G576" s="93"/>
      <c r="H576" s="104">
        <f t="shared" si="30"/>
        <v>302.66643126000002</v>
      </c>
      <c r="I576" s="105">
        <f t="shared" si="31"/>
        <v>6658.6614877200009</v>
      </c>
    </row>
    <row r="577" spans="1:9" ht="28.2" thickBot="1" x14ac:dyDescent="0.35">
      <c r="A577" s="23" t="s">
        <v>972</v>
      </c>
      <c r="B577" s="26" t="s">
        <v>973</v>
      </c>
      <c r="C577" s="24" t="s">
        <v>49</v>
      </c>
      <c r="D577" s="27">
        <v>22</v>
      </c>
      <c r="E577" s="93">
        <f>233.25*(1.184419)</f>
        <v>276.26573175000004</v>
      </c>
      <c r="F577" s="93">
        <f>12.12*(1.184419)</f>
        <v>14.355158280000001</v>
      </c>
      <c r="G577" s="93">
        <f>0.03*(1.184419)</f>
        <v>3.5532569999999999E-2</v>
      </c>
      <c r="H577" s="104">
        <f t="shared" si="30"/>
        <v>290.65642260000004</v>
      </c>
      <c r="I577" s="105">
        <f t="shared" si="31"/>
        <v>6394.4412972000009</v>
      </c>
    </row>
    <row r="578" spans="1:9" ht="28.2" thickBot="1" x14ac:dyDescent="0.35">
      <c r="A578" s="23" t="s">
        <v>974</v>
      </c>
      <c r="B578" s="26" t="s">
        <v>975</v>
      </c>
      <c r="C578" s="24" t="s">
        <v>49</v>
      </c>
      <c r="D578" s="27">
        <v>88</v>
      </c>
      <c r="E578" s="93"/>
      <c r="F578" s="93">
        <f>1.1*(1.184419)</f>
        <v>1.3028609000000002</v>
      </c>
      <c r="G578" s="93"/>
      <c r="H578" s="104">
        <f t="shared" si="30"/>
        <v>1.3028609000000002</v>
      </c>
      <c r="I578" s="105">
        <f t="shared" si="31"/>
        <v>114.65175920000001</v>
      </c>
    </row>
    <row r="579" spans="1:9" ht="28.2" thickBot="1" x14ac:dyDescent="0.35">
      <c r="A579" s="23" t="s">
        <v>976</v>
      </c>
      <c r="B579" s="26" t="s">
        <v>977</v>
      </c>
      <c r="C579" s="24" t="s">
        <v>135</v>
      </c>
      <c r="D579" s="27">
        <v>55</v>
      </c>
      <c r="E579" s="93">
        <f>16.92*(1.184419)</f>
        <v>20.040369480000003</v>
      </c>
      <c r="F579" s="93">
        <f>4.04*(1.184419)</f>
        <v>4.7850527600000001</v>
      </c>
      <c r="G579" s="93">
        <f>0.01*(1.184419)</f>
        <v>1.1844190000000001E-2</v>
      </c>
      <c r="H579" s="104">
        <f t="shared" si="30"/>
        <v>24.837266430000003</v>
      </c>
      <c r="I579" s="105">
        <f t="shared" si="31"/>
        <v>1366.0496536500002</v>
      </c>
    </row>
    <row r="580" spans="1:9" ht="42" thickBot="1" x14ac:dyDescent="0.35">
      <c r="A580" s="23" t="s">
        <v>978</v>
      </c>
      <c r="B580" s="26" t="s">
        <v>746</v>
      </c>
      <c r="C580" s="24" t="s">
        <v>49</v>
      </c>
      <c r="D580" s="27">
        <v>22</v>
      </c>
      <c r="E580" s="93">
        <f>17.2*(1.184419)</f>
        <v>20.372006800000001</v>
      </c>
      <c r="F580" s="93">
        <f>18.57*(1.184419)</f>
        <v>21.994660830000001</v>
      </c>
      <c r="G580" s="93">
        <f>1.62*(1.184419)</f>
        <v>1.9187587800000003</v>
      </c>
      <c r="H580" s="104">
        <f t="shared" si="30"/>
        <v>44.285426409999999</v>
      </c>
      <c r="I580" s="105">
        <f t="shared" si="31"/>
        <v>974.27938101999996</v>
      </c>
    </row>
    <row r="581" spans="1:9" ht="42" thickBot="1" x14ac:dyDescent="0.35">
      <c r="A581" s="23" t="s">
        <v>979</v>
      </c>
      <c r="B581" s="26" t="s">
        <v>790</v>
      </c>
      <c r="C581" s="24" t="s">
        <v>135</v>
      </c>
      <c r="D581" s="27">
        <v>264</v>
      </c>
      <c r="E581" s="93">
        <f>18.48*(1.184419)</f>
        <v>21.888063120000002</v>
      </c>
      <c r="F581" s="93">
        <f>6.83*(1.184419)</f>
        <v>8.0895817700000006</v>
      </c>
      <c r="G581" s="93">
        <f>0.53*(1.184419)</f>
        <v>0.62774207000000004</v>
      </c>
      <c r="H581" s="104">
        <f t="shared" si="30"/>
        <v>30.605386960000001</v>
      </c>
      <c r="I581" s="105">
        <f t="shared" si="31"/>
        <v>8079.8221574400004</v>
      </c>
    </row>
    <row r="582" spans="1:9" ht="42" thickBot="1" x14ac:dyDescent="0.35">
      <c r="A582" s="23" t="s">
        <v>980</v>
      </c>
      <c r="B582" s="26" t="s">
        <v>794</v>
      </c>
      <c r="C582" s="24" t="s">
        <v>49</v>
      </c>
      <c r="D582" s="27">
        <v>22</v>
      </c>
      <c r="E582" s="93">
        <f>35.87*(1.184419)</f>
        <v>42.485109530000003</v>
      </c>
      <c r="F582" s="93">
        <f>19.97*(1.184419)</f>
        <v>23.652847430000001</v>
      </c>
      <c r="G582" s="93">
        <f>1.52*(1.184419)</f>
        <v>1.8003168800000002</v>
      </c>
      <c r="H582" s="104">
        <f t="shared" si="30"/>
        <v>67.938273839999994</v>
      </c>
      <c r="I582" s="105">
        <f t="shared" si="31"/>
        <v>1494.6420244799999</v>
      </c>
    </row>
    <row r="583" spans="1:9" ht="15" thickBot="1" x14ac:dyDescent="0.35">
      <c r="A583" s="23" t="s">
        <v>981</v>
      </c>
      <c r="B583" s="26" t="s">
        <v>982</v>
      </c>
      <c r="C583" s="24" t="s">
        <v>49</v>
      </c>
      <c r="D583" s="27">
        <v>6</v>
      </c>
      <c r="E583" s="93">
        <f>60.88*(1.184419)</f>
        <v>72.107428720000016</v>
      </c>
      <c r="F583" s="93">
        <f>27.56*(1.184419)</f>
        <v>32.642587640000002</v>
      </c>
      <c r="G583" s="93">
        <f>2.4*(1.184419)</f>
        <v>2.8426056000000002</v>
      </c>
      <c r="H583" s="104">
        <f t="shared" si="30"/>
        <v>107.59262196000002</v>
      </c>
      <c r="I583" s="105">
        <f t="shared" si="31"/>
        <v>645.55573176000007</v>
      </c>
    </row>
    <row r="584" spans="1:9" ht="42" thickBot="1" x14ac:dyDescent="0.35">
      <c r="A584" s="23" t="s">
        <v>983</v>
      </c>
      <c r="B584" s="26" t="s">
        <v>984</v>
      </c>
      <c r="C584" s="24" t="s">
        <v>49</v>
      </c>
      <c r="D584" s="27">
        <v>6</v>
      </c>
      <c r="E584" s="93">
        <f>8.64*(1.184419)</f>
        <v>10.233380160000001</v>
      </c>
      <c r="F584" s="93">
        <f>6.93*(1.184419)</f>
        <v>8.2080236700000011</v>
      </c>
      <c r="G584" s="93"/>
      <c r="H584" s="104">
        <f t="shared" ref="H584:H647" si="32">E584+F584+G584</f>
        <v>18.441403830000002</v>
      </c>
      <c r="I584" s="105">
        <f t="shared" ref="I584:I647" si="33">H584*D584</f>
        <v>110.64842298000002</v>
      </c>
    </row>
    <row r="585" spans="1:9" ht="42" thickBot="1" x14ac:dyDescent="0.35">
      <c r="A585" s="23" t="s">
        <v>985</v>
      </c>
      <c r="B585" s="26" t="s">
        <v>790</v>
      </c>
      <c r="C585" s="24" t="s">
        <v>135</v>
      </c>
      <c r="D585" s="27">
        <v>18</v>
      </c>
      <c r="E585" s="93">
        <f>18.48*(1.184419)</f>
        <v>21.888063120000002</v>
      </c>
      <c r="F585" s="93">
        <f>6.83*(1.184419)</f>
        <v>8.0895817700000006</v>
      </c>
      <c r="G585" s="93">
        <f>0.53*(1.184419)</f>
        <v>0.62774207000000004</v>
      </c>
      <c r="H585" s="104">
        <f t="shared" si="32"/>
        <v>30.605386960000001</v>
      </c>
      <c r="I585" s="105">
        <f t="shared" si="33"/>
        <v>550.89696528000002</v>
      </c>
    </row>
    <row r="586" spans="1:9" ht="28.2" thickBot="1" x14ac:dyDescent="0.35">
      <c r="A586" s="23" t="s">
        <v>986</v>
      </c>
      <c r="B586" s="26" t="s">
        <v>975</v>
      </c>
      <c r="C586" s="24" t="s">
        <v>49</v>
      </c>
      <c r="D586" s="27">
        <v>12</v>
      </c>
      <c r="E586" s="93"/>
      <c r="F586" s="93">
        <f>1.1*(1.184419)</f>
        <v>1.3028609000000002</v>
      </c>
      <c r="G586" s="93"/>
      <c r="H586" s="104">
        <f t="shared" si="32"/>
        <v>1.3028609000000002</v>
      </c>
      <c r="I586" s="105">
        <f t="shared" si="33"/>
        <v>15.634330800000003</v>
      </c>
    </row>
    <row r="587" spans="1:9" ht="15" thickBot="1" x14ac:dyDescent="0.35">
      <c r="A587" s="23" t="s">
        <v>987</v>
      </c>
      <c r="B587" s="26" t="s">
        <v>988</v>
      </c>
      <c r="C587" s="24" t="s">
        <v>49</v>
      </c>
      <c r="D587" s="27">
        <v>6</v>
      </c>
      <c r="E587" s="93">
        <f>81.89*(1.184419)</f>
        <v>96.992071910000007</v>
      </c>
      <c r="F587" s="93">
        <f>65.79*(1.184419)</f>
        <v>77.922926010000012</v>
      </c>
      <c r="G587" s="93">
        <f>5.72*(1.184419)</f>
        <v>6.7748766800000002</v>
      </c>
      <c r="H587" s="104">
        <f t="shared" si="32"/>
        <v>181.68987460000002</v>
      </c>
      <c r="I587" s="105">
        <f t="shared" si="33"/>
        <v>1090.1392476000001</v>
      </c>
    </row>
    <row r="588" spans="1:9" ht="42" thickBot="1" x14ac:dyDescent="0.35">
      <c r="A588" s="23" t="s">
        <v>989</v>
      </c>
      <c r="B588" s="26" t="s">
        <v>984</v>
      </c>
      <c r="C588" s="24" t="s">
        <v>49</v>
      </c>
      <c r="D588" s="27">
        <v>6</v>
      </c>
      <c r="E588" s="93">
        <f>8.64*(1.184419)</f>
        <v>10.233380160000001</v>
      </c>
      <c r="F588" s="93">
        <f>6.93*(1.184419)</f>
        <v>8.2080236700000011</v>
      </c>
      <c r="G588" s="93"/>
      <c r="H588" s="104">
        <f t="shared" si="32"/>
        <v>18.441403830000002</v>
      </c>
      <c r="I588" s="105">
        <f t="shared" si="33"/>
        <v>110.64842298000002</v>
      </c>
    </row>
    <row r="589" spans="1:9" ht="42" thickBot="1" x14ac:dyDescent="0.35">
      <c r="A589" s="23" t="s">
        <v>990</v>
      </c>
      <c r="B589" s="26" t="s">
        <v>790</v>
      </c>
      <c r="C589" s="24" t="s">
        <v>135</v>
      </c>
      <c r="D589" s="27">
        <v>144</v>
      </c>
      <c r="E589" s="93">
        <f>18.48*(1.184419)</f>
        <v>21.888063120000002</v>
      </c>
      <c r="F589" s="93">
        <f>6.83*(1.184419)</f>
        <v>8.0895817700000006</v>
      </c>
      <c r="G589" s="93">
        <f>0.53*(1.184419)</f>
        <v>0.62774207000000004</v>
      </c>
      <c r="H589" s="104">
        <f t="shared" si="32"/>
        <v>30.605386960000001</v>
      </c>
      <c r="I589" s="105">
        <f t="shared" si="33"/>
        <v>4407.1757222400001</v>
      </c>
    </row>
    <row r="590" spans="1:9" ht="28.2" thickBot="1" x14ac:dyDescent="0.35">
      <c r="A590" s="23" t="s">
        <v>991</v>
      </c>
      <c r="B590" s="26" t="s">
        <v>975</v>
      </c>
      <c r="C590" s="24" t="s">
        <v>49</v>
      </c>
      <c r="D590" s="27">
        <v>72</v>
      </c>
      <c r="E590" s="93"/>
      <c r="F590" s="93">
        <f>1.1*(1.184419)</f>
        <v>1.3028609000000002</v>
      </c>
      <c r="G590" s="93"/>
      <c r="H590" s="104">
        <f t="shared" si="32"/>
        <v>1.3028609000000002</v>
      </c>
      <c r="I590" s="105">
        <f t="shared" si="33"/>
        <v>93.805984800000019</v>
      </c>
    </row>
    <row r="591" spans="1:9" ht="15" thickBot="1" x14ac:dyDescent="0.35">
      <c r="A591" s="23" t="s">
        <v>992</v>
      </c>
      <c r="B591" s="26" t="s">
        <v>993</v>
      </c>
      <c r="C591" s="24" t="s">
        <v>49</v>
      </c>
      <c r="D591" s="27">
        <v>6</v>
      </c>
      <c r="E591" s="93">
        <f>410.94*(1.184419)</f>
        <v>486.72514386000006</v>
      </c>
      <c r="F591" s="93">
        <f>14.34*(1.184419)</f>
        <v>16.984568460000002</v>
      </c>
      <c r="G591" s="93"/>
      <c r="H591" s="104">
        <f t="shared" si="32"/>
        <v>503.70971232000005</v>
      </c>
      <c r="I591" s="105">
        <f t="shared" si="33"/>
        <v>3022.2582739200002</v>
      </c>
    </row>
    <row r="592" spans="1:9" ht="15" thickBot="1" x14ac:dyDescent="0.35">
      <c r="A592" s="23" t="s">
        <v>994</v>
      </c>
      <c r="B592" s="26" t="s">
        <v>923</v>
      </c>
      <c r="C592" s="24" t="s">
        <v>49</v>
      </c>
      <c r="D592" s="27">
        <v>6</v>
      </c>
      <c r="E592" s="93">
        <f>30.01*(1.184419)</f>
        <v>35.544414190000005</v>
      </c>
      <c r="F592" s="93">
        <f>16.15*(1.184419)</f>
        <v>19.128366849999999</v>
      </c>
      <c r="G592" s="93">
        <f>0.04*(1.184419)</f>
        <v>4.7376760000000004E-2</v>
      </c>
      <c r="H592" s="104">
        <f t="shared" si="32"/>
        <v>54.720157800000003</v>
      </c>
      <c r="I592" s="105">
        <f t="shared" si="33"/>
        <v>328.3209468</v>
      </c>
    </row>
    <row r="593" spans="1:9" ht="33" customHeight="1" thickBot="1" x14ac:dyDescent="0.35">
      <c r="A593" s="23" t="s">
        <v>995</v>
      </c>
      <c r="B593" s="26" t="s">
        <v>794</v>
      </c>
      <c r="C593" s="24" t="s">
        <v>49</v>
      </c>
      <c r="D593" s="27">
        <v>12</v>
      </c>
      <c r="E593" s="93">
        <f>35.87*(1.184419)</f>
        <v>42.485109530000003</v>
      </c>
      <c r="F593" s="93">
        <f>19.97*(1.184419)</f>
        <v>23.652847430000001</v>
      </c>
      <c r="G593" s="93">
        <f>1.52*(1.184419)</f>
        <v>1.8003168800000002</v>
      </c>
      <c r="H593" s="104">
        <f t="shared" si="32"/>
        <v>67.938273839999994</v>
      </c>
      <c r="I593" s="105">
        <f t="shared" si="33"/>
        <v>815.25928607999992</v>
      </c>
    </row>
    <row r="594" spans="1:9" ht="32.4" customHeight="1" thickBot="1" x14ac:dyDescent="0.35">
      <c r="A594" s="23" t="s">
        <v>996</v>
      </c>
      <c r="B594" s="26" t="s">
        <v>746</v>
      </c>
      <c r="C594" s="24" t="s">
        <v>49</v>
      </c>
      <c r="D594" s="27">
        <v>12</v>
      </c>
      <c r="E594" s="93">
        <f>17.2*(1.184419)</f>
        <v>20.372006800000001</v>
      </c>
      <c r="F594" s="93">
        <f>18.57*(1.184419)</f>
        <v>21.994660830000001</v>
      </c>
      <c r="G594" s="93">
        <f>1.62*(1.184419)</f>
        <v>1.9187587800000003</v>
      </c>
      <c r="H594" s="104">
        <f t="shared" si="32"/>
        <v>44.285426409999999</v>
      </c>
      <c r="I594" s="105">
        <f t="shared" si="33"/>
        <v>531.42511691999994</v>
      </c>
    </row>
    <row r="595" spans="1:9" ht="15" thickBot="1" x14ac:dyDescent="0.35">
      <c r="A595" s="23" t="s">
        <v>997</v>
      </c>
      <c r="B595" s="26" t="s">
        <v>998</v>
      </c>
      <c r="C595" s="24" t="s">
        <v>49</v>
      </c>
      <c r="D595" s="27">
        <v>6</v>
      </c>
      <c r="E595" s="93">
        <f>26304.6*(1.184419)</f>
        <v>31155.668027400003</v>
      </c>
      <c r="F595" s="93">
        <f>1488.55*(1.184419)</f>
        <v>1763.06690245</v>
      </c>
      <c r="G595" s="93">
        <f>129.5*(1.184419)</f>
        <v>153.3822605</v>
      </c>
      <c r="H595" s="104">
        <f t="shared" si="32"/>
        <v>33072.117190350007</v>
      </c>
      <c r="I595" s="105">
        <f t="shared" si="33"/>
        <v>198432.70314210004</v>
      </c>
    </row>
    <row r="596" spans="1:9" ht="15" thickBot="1" x14ac:dyDescent="0.35">
      <c r="A596" s="23" t="s">
        <v>999</v>
      </c>
      <c r="B596" s="26" t="s">
        <v>1000</v>
      </c>
      <c r="C596" s="24" t="s">
        <v>49</v>
      </c>
      <c r="D596" s="27">
        <v>5</v>
      </c>
      <c r="E596" s="93">
        <f>222.46*(1.184419)</f>
        <v>263.48585074000005</v>
      </c>
      <c r="F596" s="93">
        <f>221.45*(1.184419)</f>
        <v>262.28958755000002</v>
      </c>
      <c r="G596" s="93"/>
      <c r="H596" s="104">
        <f t="shared" si="32"/>
        <v>525.77543829000001</v>
      </c>
      <c r="I596" s="105">
        <f t="shared" si="33"/>
        <v>2628.8771914500003</v>
      </c>
    </row>
    <row r="597" spans="1:9" ht="28.2" thickBot="1" x14ac:dyDescent="0.35">
      <c r="A597" s="23" t="s">
        <v>1001</v>
      </c>
      <c r="B597" s="26" t="s">
        <v>1002</v>
      </c>
      <c r="C597" s="24" t="s">
        <v>49</v>
      </c>
      <c r="D597" s="27">
        <v>5</v>
      </c>
      <c r="E597" s="93">
        <f>72.35*(1.184419)</f>
        <v>85.692714649999999</v>
      </c>
      <c r="F597" s="93">
        <f>14.34*(1.184419)</f>
        <v>16.984568460000002</v>
      </c>
      <c r="G597" s="93"/>
      <c r="H597" s="104">
        <f t="shared" si="32"/>
        <v>102.67728311</v>
      </c>
      <c r="I597" s="105">
        <f t="shared" si="33"/>
        <v>513.38641555000004</v>
      </c>
    </row>
    <row r="598" spans="1:9" ht="32.4" customHeight="1" thickBot="1" x14ac:dyDescent="0.35">
      <c r="A598" s="23" t="s">
        <v>1003</v>
      </c>
      <c r="B598" s="26" t="s">
        <v>790</v>
      </c>
      <c r="C598" s="24" t="s">
        <v>135</v>
      </c>
      <c r="D598" s="27">
        <v>60</v>
      </c>
      <c r="E598" s="93">
        <f>18.48*(1.184419)</f>
        <v>21.888063120000002</v>
      </c>
      <c r="F598" s="93">
        <f>6.83*(1.184419)</f>
        <v>8.0895817700000006</v>
      </c>
      <c r="G598" s="93">
        <f>0.53*(1.184419)</f>
        <v>0.62774207000000004</v>
      </c>
      <c r="H598" s="104">
        <f t="shared" si="32"/>
        <v>30.605386960000001</v>
      </c>
      <c r="I598" s="105">
        <f t="shared" si="33"/>
        <v>1836.3232176000001</v>
      </c>
    </row>
    <row r="599" spans="1:9" ht="42" thickBot="1" x14ac:dyDescent="0.35">
      <c r="A599" s="23" t="s">
        <v>1004</v>
      </c>
      <c r="B599" s="26" t="s">
        <v>953</v>
      </c>
      <c r="C599" s="24" t="s">
        <v>49</v>
      </c>
      <c r="D599" s="27">
        <v>55</v>
      </c>
      <c r="E599" s="93">
        <f>2.18*(1.184419)</f>
        <v>2.5820334200000006</v>
      </c>
      <c r="F599" s="93">
        <f>1.31*(1.184419)</f>
        <v>1.5515888900000001</v>
      </c>
      <c r="G599" s="93"/>
      <c r="H599" s="104">
        <f t="shared" si="32"/>
        <v>4.1336223100000007</v>
      </c>
      <c r="I599" s="105">
        <f t="shared" si="33"/>
        <v>227.34922705000002</v>
      </c>
    </row>
    <row r="600" spans="1:9" ht="32.4" customHeight="1" thickBot="1" x14ac:dyDescent="0.35">
      <c r="A600" s="23" t="s">
        <v>1005</v>
      </c>
      <c r="B600" s="26" t="s">
        <v>794</v>
      </c>
      <c r="C600" s="24" t="s">
        <v>49</v>
      </c>
      <c r="D600" s="27">
        <v>5</v>
      </c>
      <c r="E600" s="93">
        <f>35.87*(1.184419)</f>
        <v>42.485109530000003</v>
      </c>
      <c r="F600" s="93">
        <f>19.97*(1.184419)</f>
        <v>23.652847430000001</v>
      </c>
      <c r="G600" s="93">
        <f>1.52*(1.184419)</f>
        <v>1.8003168800000002</v>
      </c>
      <c r="H600" s="104">
        <f t="shared" si="32"/>
        <v>67.938273839999994</v>
      </c>
      <c r="I600" s="105">
        <f t="shared" si="33"/>
        <v>339.69136919999994</v>
      </c>
    </row>
    <row r="601" spans="1:9" ht="42" thickBot="1" x14ac:dyDescent="0.35">
      <c r="A601" s="23" t="s">
        <v>1006</v>
      </c>
      <c r="B601" s="26" t="s">
        <v>750</v>
      </c>
      <c r="C601" s="24" t="s">
        <v>49</v>
      </c>
      <c r="D601" s="27">
        <v>15</v>
      </c>
      <c r="E601" s="93">
        <f>24.73*(1.184419)</f>
        <v>29.290681870000004</v>
      </c>
      <c r="F601" s="93">
        <f>19.91*(1.184419)</f>
        <v>23.581782290000003</v>
      </c>
      <c r="G601" s="93">
        <f>1.74*(1.184419)</f>
        <v>2.0608890600000001</v>
      </c>
      <c r="H601" s="104">
        <f t="shared" si="32"/>
        <v>54.933353220000008</v>
      </c>
      <c r="I601" s="105">
        <f t="shared" si="33"/>
        <v>824.00029830000017</v>
      </c>
    </row>
    <row r="602" spans="1:9" ht="15" thickBot="1" x14ac:dyDescent="0.35">
      <c r="A602" s="23" t="s">
        <v>1007</v>
      </c>
      <c r="B602" s="26" t="s">
        <v>1008</v>
      </c>
      <c r="C602" s="24" t="s">
        <v>135</v>
      </c>
      <c r="D602" s="27">
        <v>15</v>
      </c>
      <c r="E602" s="93">
        <f>5.32*(1.184419)</f>
        <v>6.3011090800000007</v>
      </c>
      <c r="F602" s="93">
        <f>4.84*(1.184419)</f>
        <v>5.73258796</v>
      </c>
      <c r="G602" s="93">
        <f>0.01*(1.184419)</f>
        <v>1.1844190000000001E-2</v>
      </c>
      <c r="H602" s="104">
        <f t="shared" si="32"/>
        <v>12.04554123</v>
      </c>
      <c r="I602" s="105">
        <f t="shared" si="33"/>
        <v>180.68311844999999</v>
      </c>
    </row>
    <row r="603" spans="1:9" ht="15" thickBot="1" x14ac:dyDescent="0.35">
      <c r="A603" s="23" t="s">
        <v>1009</v>
      </c>
      <c r="B603" s="26" t="s">
        <v>1010</v>
      </c>
      <c r="C603" s="24" t="s">
        <v>49</v>
      </c>
      <c r="D603" s="27">
        <v>10</v>
      </c>
      <c r="E603" s="93">
        <f>4.1*(1.184419)</f>
        <v>4.8561179000000001</v>
      </c>
      <c r="F603" s="93"/>
      <c r="G603" s="93"/>
      <c r="H603" s="104">
        <f t="shared" si="32"/>
        <v>4.8561179000000001</v>
      </c>
      <c r="I603" s="105">
        <f t="shared" si="33"/>
        <v>48.561179000000003</v>
      </c>
    </row>
    <row r="604" spans="1:9" ht="15" thickBot="1" x14ac:dyDescent="0.35">
      <c r="A604" s="23" t="s">
        <v>1011</v>
      </c>
      <c r="B604" s="26" t="s">
        <v>1012</v>
      </c>
      <c r="C604" s="24" t="s">
        <v>49</v>
      </c>
      <c r="D604" s="27">
        <v>1</v>
      </c>
      <c r="E604" s="93">
        <f>1612.74*(1.184419)</f>
        <v>1910.1598980600002</v>
      </c>
      <c r="F604" s="93">
        <f>145.98*(1.184419)</f>
        <v>172.90148562000002</v>
      </c>
      <c r="G604" s="93">
        <f>11.39*(1.184419)</f>
        <v>13.490532410000002</v>
      </c>
      <c r="H604" s="104">
        <f t="shared" si="32"/>
        <v>2096.5519160900003</v>
      </c>
      <c r="I604" s="105">
        <f t="shared" si="33"/>
        <v>2096.5519160900003</v>
      </c>
    </row>
    <row r="605" spans="1:9" ht="32.4" customHeight="1" thickBot="1" x14ac:dyDescent="0.35">
      <c r="A605" s="23" t="s">
        <v>1013</v>
      </c>
      <c r="B605" s="26" t="s">
        <v>790</v>
      </c>
      <c r="C605" s="24" t="s">
        <v>135</v>
      </c>
      <c r="D605" s="27">
        <v>24</v>
      </c>
      <c r="E605" s="93">
        <f>18.48*(1.184419)</f>
        <v>21.888063120000002</v>
      </c>
      <c r="F605" s="93">
        <f>6.83*(1.184419)</f>
        <v>8.0895817700000006</v>
      </c>
      <c r="G605" s="93">
        <f>0.53*(1.184419)</f>
        <v>0.62774207000000004</v>
      </c>
      <c r="H605" s="104">
        <f t="shared" si="32"/>
        <v>30.605386960000001</v>
      </c>
      <c r="I605" s="105">
        <f t="shared" si="33"/>
        <v>734.52928703999999</v>
      </c>
    </row>
    <row r="606" spans="1:9" ht="28.2" thickBot="1" x14ac:dyDescent="0.35">
      <c r="A606" s="23" t="s">
        <v>1014</v>
      </c>
      <c r="B606" s="26" t="s">
        <v>975</v>
      </c>
      <c r="C606" s="24" t="s">
        <v>49</v>
      </c>
      <c r="D606" s="27">
        <v>5</v>
      </c>
      <c r="E606" s="93"/>
      <c r="F606" s="93">
        <f>1.1*(1.184419)</f>
        <v>1.3028609000000002</v>
      </c>
      <c r="G606" s="93"/>
      <c r="H606" s="104">
        <f t="shared" si="32"/>
        <v>1.3028609000000002</v>
      </c>
      <c r="I606" s="105">
        <f t="shared" si="33"/>
        <v>6.5143045000000015</v>
      </c>
    </row>
    <row r="607" spans="1:9" ht="42" thickBot="1" x14ac:dyDescent="0.35">
      <c r="A607" s="23" t="s">
        <v>1015</v>
      </c>
      <c r="B607" s="26" t="s">
        <v>794</v>
      </c>
      <c r="C607" s="24" t="s">
        <v>49</v>
      </c>
      <c r="D607" s="27">
        <v>10</v>
      </c>
      <c r="E607" s="93">
        <f>35.87*(1.184419)</f>
        <v>42.485109530000003</v>
      </c>
      <c r="F607" s="93">
        <f>19.97*(1.184419)</f>
        <v>23.652847430000001</v>
      </c>
      <c r="G607" s="93">
        <f>1.52*(1.184419)</f>
        <v>1.8003168800000002</v>
      </c>
      <c r="H607" s="104">
        <f t="shared" si="32"/>
        <v>67.938273839999994</v>
      </c>
      <c r="I607" s="105">
        <f t="shared" si="33"/>
        <v>679.38273839999988</v>
      </c>
    </row>
    <row r="608" spans="1:9" ht="28.2" thickBot="1" x14ac:dyDescent="0.35">
      <c r="A608" s="23" t="s">
        <v>1016</v>
      </c>
      <c r="B608" s="31" t="s">
        <v>1017</v>
      </c>
      <c r="C608" s="25" t="s">
        <v>49</v>
      </c>
      <c r="D608" s="27">
        <v>1</v>
      </c>
      <c r="E608" s="93">
        <f>60.57*(1.184419)</f>
        <v>71.740258830000002</v>
      </c>
      <c r="F608" s="93">
        <f>14.66*(1.184419)</f>
        <v>17.363582540000003</v>
      </c>
      <c r="G608" s="93">
        <f>0.03*(1.184419)</f>
        <v>3.5532569999999999E-2</v>
      </c>
      <c r="H608" s="104">
        <f t="shared" si="32"/>
        <v>89.139373939999999</v>
      </c>
      <c r="I608" s="105">
        <f t="shared" si="33"/>
        <v>89.139373939999999</v>
      </c>
    </row>
    <row r="609" spans="1:9" ht="15" thickBot="1" x14ac:dyDescent="0.35">
      <c r="A609" s="23" t="s">
        <v>1018</v>
      </c>
      <c r="B609" s="31" t="s">
        <v>1019</v>
      </c>
      <c r="C609" s="25" t="s">
        <v>49</v>
      </c>
      <c r="D609" s="27">
        <v>7</v>
      </c>
      <c r="E609" s="93">
        <f>210.14*(1.184419)</f>
        <v>248.89380866000002</v>
      </c>
      <c r="F609" s="93">
        <f>42.53*(1.184419)</f>
        <v>50.373340070000005</v>
      </c>
      <c r="G609" s="93">
        <f>3.7*(1.184419)</f>
        <v>4.3823503000000006</v>
      </c>
      <c r="H609" s="104">
        <f t="shared" si="32"/>
        <v>303.64949903000002</v>
      </c>
      <c r="I609" s="105">
        <f t="shared" si="33"/>
        <v>2125.5464932100003</v>
      </c>
    </row>
    <row r="610" spans="1:9" ht="15" thickBot="1" x14ac:dyDescent="0.35">
      <c r="A610" s="23" t="s">
        <v>1020</v>
      </c>
      <c r="B610" s="31" t="s">
        <v>1021</v>
      </c>
      <c r="C610" s="25" t="s">
        <v>49</v>
      </c>
      <c r="D610" s="27">
        <v>7</v>
      </c>
      <c r="E610" s="93">
        <f>596.88*(1.184419)</f>
        <v>706.9560127200001</v>
      </c>
      <c r="F610" s="93">
        <f>762.41*(1.184419)</f>
        <v>903.01288979000003</v>
      </c>
      <c r="G610" s="93">
        <f>66.86*(1.184419)</f>
        <v>79.19025434000001</v>
      </c>
      <c r="H610" s="104">
        <f t="shared" si="32"/>
        <v>1689.15915685</v>
      </c>
      <c r="I610" s="105">
        <f t="shared" si="33"/>
        <v>11824.11409795</v>
      </c>
    </row>
    <row r="611" spans="1:9" ht="15" thickBot="1" x14ac:dyDescent="0.35">
      <c r="A611" s="23" t="s">
        <v>1022</v>
      </c>
      <c r="B611" s="26" t="s">
        <v>1023</v>
      </c>
      <c r="C611" s="24" t="s">
        <v>135</v>
      </c>
      <c r="D611" s="27">
        <v>680</v>
      </c>
      <c r="E611" s="93">
        <f>3.58*(1.184419)</f>
        <v>4.2402200200000006</v>
      </c>
      <c r="F611" s="93">
        <f>1.27*(1.184419)</f>
        <v>1.5042121300000002</v>
      </c>
      <c r="G611" s="93">
        <f>0.12*(1.184419)</f>
        <v>0.14213028</v>
      </c>
      <c r="H611" s="104">
        <f t="shared" si="32"/>
        <v>5.8865624300000006</v>
      </c>
      <c r="I611" s="105">
        <f t="shared" si="33"/>
        <v>4002.8624524000002</v>
      </c>
    </row>
    <row r="612" spans="1:9" ht="28.2" thickBot="1" x14ac:dyDescent="0.35">
      <c r="A612" s="23" t="s">
        <v>1024</v>
      </c>
      <c r="B612" s="26" t="s">
        <v>1025</v>
      </c>
      <c r="C612" s="24" t="s">
        <v>135</v>
      </c>
      <c r="D612" s="27">
        <v>200</v>
      </c>
      <c r="E612" s="93">
        <f>4.18*(1.184419)</f>
        <v>4.9508714200000004</v>
      </c>
      <c r="F612" s="93">
        <f>1.27*(1.184419)</f>
        <v>1.5042121300000002</v>
      </c>
      <c r="G612" s="93">
        <f>0.12*(1.184419)</f>
        <v>0.14213028</v>
      </c>
      <c r="H612" s="104">
        <f t="shared" si="32"/>
        <v>6.5972138300000003</v>
      </c>
      <c r="I612" s="105">
        <f t="shared" si="33"/>
        <v>1319.4427660000001</v>
      </c>
    </row>
    <row r="613" spans="1:9" ht="15" thickBot="1" x14ac:dyDescent="0.35">
      <c r="A613" s="23" t="s">
        <v>1026</v>
      </c>
      <c r="B613" s="26" t="s">
        <v>1027</v>
      </c>
      <c r="C613" s="24" t="s">
        <v>49</v>
      </c>
      <c r="D613" s="27">
        <v>5</v>
      </c>
      <c r="E613" s="93">
        <f>17.21*(1.184419)</f>
        <v>20.383850990000003</v>
      </c>
      <c r="F613" s="93">
        <f>35.97*(1.184419)</f>
        <v>42.603551430000003</v>
      </c>
      <c r="G613" s="93"/>
      <c r="H613" s="104">
        <f t="shared" si="32"/>
        <v>62.987402420000009</v>
      </c>
      <c r="I613" s="105">
        <f t="shared" si="33"/>
        <v>314.93701210000006</v>
      </c>
    </row>
    <row r="614" spans="1:9" ht="15" thickBot="1" x14ac:dyDescent="0.35">
      <c r="A614" s="30"/>
      <c r="B614" s="26"/>
      <c r="C614" s="26"/>
      <c r="D614" s="26"/>
      <c r="E614" s="93"/>
      <c r="F614" s="93"/>
      <c r="G614" s="93"/>
      <c r="H614" s="104"/>
      <c r="I614" s="105"/>
    </row>
    <row r="615" spans="1:9" ht="15" thickBot="1" x14ac:dyDescent="0.35">
      <c r="A615" s="34" t="s">
        <v>1028</v>
      </c>
      <c r="B615" s="36" t="s">
        <v>1029</v>
      </c>
      <c r="C615" s="35"/>
      <c r="D615" s="35"/>
      <c r="E615" s="35"/>
      <c r="F615" s="35"/>
      <c r="G615" s="35"/>
      <c r="H615" s="35"/>
      <c r="I615" s="117">
        <f>I616+I622+I629+I627</f>
        <v>41176.065962820008</v>
      </c>
    </row>
    <row r="616" spans="1:9" ht="15" thickBot="1" x14ac:dyDescent="0.35">
      <c r="A616" s="43" t="s">
        <v>1030</v>
      </c>
      <c r="B616" s="41" t="s">
        <v>1031</v>
      </c>
      <c r="C616" s="31"/>
      <c r="D616" s="31"/>
      <c r="E616" s="93"/>
      <c r="F616" s="93"/>
      <c r="G616" s="93"/>
      <c r="H616" s="104"/>
      <c r="I616" s="119">
        <f>SUM(I617:I621)</f>
        <v>2072.1884172600003</v>
      </c>
    </row>
    <row r="617" spans="1:9" ht="28.2" thickBot="1" x14ac:dyDescent="0.35">
      <c r="A617" s="23" t="s">
        <v>1032</v>
      </c>
      <c r="B617" s="26" t="s">
        <v>1033</v>
      </c>
      <c r="C617" s="24" t="s">
        <v>49</v>
      </c>
      <c r="D617" s="27">
        <v>2</v>
      </c>
      <c r="E617" s="93">
        <f>148.73*(1.184419)</f>
        <v>176.15863787000001</v>
      </c>
      <c r="F617" s="93">
        <f>5.37*(1.184419)</f>
        <v>6.360330030000001</v>
      </c>
      <c r="G617" s="93">
        <f>0.46*(1.184419)</f>
        <v>0.54483274000000004</v>
      </c>
      <c r="H617" s="104">
        <f t="shared" si="32"/>
        <v>183.06380064000001</v>
      </c>
      <c r="I617" s="105">
        <f t="shared" si="33"/>
        <v>366.12760128000002</v>
      </c>
    </row>
    <row r="618" spans="1:9" ht="15" thickBot="1" x14ac:dyDescent="0.35">
      <c r="A618" s="23" t="s">
        <v>1034</v>
      </c>
      <c r="B618" s="26" t="s">
        <v>1035</v>
      </c>
      <c r="C618" s="24" t="s">
        <v>49</v>
      </c>
      <c r="D618" s="27">
        <v>2</v>
      </c>
      <c r="E618" s="93">
        <f>248.68*(1.184419)</f>
        <v>294.54131692000004</v>
      </c>
      <c r="F618" s="93">
        <f>70.17*(1.184419)</f>
        <v>83.110681230000012</v>
      </c>
      <c r="G618" s="93">
        <f>6.1*(1.184419)</f>
        <v>7.2249559000000003</v>
      </c>
      <c r="H618" s="104">
        <f t="shared" si="32"/>
        <v>384.87695405000005</v>
      </c>
      <c r="I618" s="105">
        <f t="shared" si="33"/>
        <v>769.7539081000001</v>
      </c>
    </row>
    <row r="619" spans="1:9" ht="15" thickBot="1" x14ac:dyDescent="0.35">
      <c r="A619" s="23" t="s">
        <v>1036</v>
      </c>
      <c r="B619" s="26" t="s">
        <v>1037</v>
      </c>
      <c r="C619" s="24" t="s">
        <v>49</v>
      </c>
      <c r="D619" s="27">
        <v>2</v>
      </c>
      <c r="E619" s="93">
        <f>80.79*(1.184419)</f>
        <v>95.689211010000022</v>
      </c>
      <c r="F619" s="93">
        <f>11.95*(1.184419)</f>
        <v>14.153807050000001</v>
      </c>
      <c r="G619" s="93"/>
      <c r="H619" s="104">
        <f t="shared" si="32"/>
        <v>109.84301806000002</v>
      </c>
      <c r="I619" s="105">
        <f t="shared" si="33"/>
        <v>219.68603612000004</v>
      </c>
    </row>
    <row r="620" spans="1:9" ht="15" thickBot="1" x14ac:dyDescent="0.35">
      <c r="A620" s="23" t="s">
        <v>1038</v>
      </c>
      <c r="B620" s="26" t="s">
        <v>1039</v>
      </c>
      <c r="C620" s="24" t="s">
        <v>49</v>
      </c>
      <c r="D620" s="27">
        <v>2</v>
      </c>
      <c r="E620" s="93">
        <f>190.56*(1.184419)</f>
        <v>225.70288464000004</v>
      </c>
      <c r="F620" s="93">
        <f>14.34*(1.184419)</f>
        <v>16.984568460000002</v>
      </c>
      <c r="G620" s="93"/>
      <c r="H620" s="104">
        <f t="shared" si="32"/>
        <v>242.68745310000003</v>
      </c>
      <c r="I620" s="105">
        <f t="shared" si="33"/>
        <v>485.37490620000005</v>
      </c>
    </row>
    <row r="621" spans="1:9" ht="28.2" thickBot="1" x14ac:dyDescent="0.35">
      <c r="A621" s="23" t="s">
        <v>1040</v>
      </c>
      <c r="B621" s="26" t="s">
        <v>1041</v>
      </c>
      <c r="C621" s="24" t="s">
        <v>49</v>
      </c>
      <c r="D621" s="27">
        <v>6</v>
      </c>
      <c r="E621" s="93">
        <f>20.59*(1.184419)</f>
        <v>24.38718721</v>
      </c>
      <c r="F621" s="93">
        <f>11.95*(1.184419)</f>
        <v>14.153807050000001</v>
      </c>
      <c r="G621" s="93"/>
      <c r="H621" s="104">
        <f t="shared" si="32"/>
        <v>38.540994260000005</v>
      </c>
      <c r="I621" s="105">
        <f t="shared" si="33"/>
        <v>231.24596556000003</v>
      </c>
    </row>
    <row r="622" spans="1:9" ht="15" thickBot="1" x14ac:dyDescent="0.35">
      <c r="A622" s="43" t="s">
        <v>1042</v>
      </c>
      <c r="B622" s="41" t="s">
        <v>1043</v>
      </c>
      <c r="C622" s="31"/>
      <c r="D622" s="31"/>
      <c r="E622" s="93"/>
      <c r="F622" s="93"/>
      <c r="G622" s="93"/>
      <c r="H622" s="104"/>
      <c r="I622" s="119">
        <f>SUM(I623:I626)</f>
        <v>19352.316794520004</v>
      </c>
    </row>
    <row r="623" spans="1:9" ht="28.2" thickBot="1" x14ac:dyDescent="0.35">
      <c r="A623" s="23" t="s">
        <v>1044</v>
      </c>
      <c r="B623" s="26" t="s">
        <v>1045</v>
      </c>
      <c r="C623" s="24" t="s">
        <v>135</v>
      </c>
      <c r="D623" s="27">
        <v>320</v>
      </c>
      <c r="E623" s="93">
        <f>9.64*(1.184419)</f>
        <v>11.417799160000001</v>
      </c>
      <c r="F623" s="93">
        <f>23.9*(1.184419)</f>
        <v>28.307614100000002</v>
      </c>
      <c r="G623" s="93"/>
      <c r="H623" s="104">
        <f t="shared" si="32"/>
        <v>39.725413260000003</v>
      </c>
      <c r="I623" s="105">
        <f t="shared" si="33"/>
        <v>12712.132243200002</v>
      </c>
    </row>
    <row r="624" spans="1:9" ht="15" thickBot="1" x14ac:dyDescent="0.35">
      <c r="A624" s="23" t="s">
        <v>1046</v>
      </c>
      <c r="B624" s="26" t="s">
        <v>1047</v>
      </c>
      <c r="C624" s="24" t="s">
        <v>135</v>
      </c>
      <c r="D624" s="27">
        <v>60</v>
      </c>
      <c r="E624" s="93">
        <f>49.95*(1.184419)</f>
        <v>59.161729050000012</v>
      </c>
      <c r="F624" s="93">
        <f>28.93*(1.184419)</f>
        <v>34.265241670000002</v>
      </c>
      <c r="G624" s="93">
        <f>2.52*(1.184419)</f>
        <v>2.9847358800000001</v>
      </c>
      <c r="H624" s="104">
        <f t="shared" si="32"/>
        <v>96.411706600000016</v>
      </c>
      <c r="I624" s="105">
        <f t="shared" si="33"/>
        <v>5784.7023960000006</v>
      </c>
    </row>
    <row r="625" spans="1:9" ht="15" thickBot="1" x14ac:dyDescent="0.35">
      <c r="A625" s="23" t="s">
        <v>1048</v>
      </c>
      <c r="B625" s="26" t="s">
        <v>1049</v>
      </c>
      <c r="C625" s="24" t="s">
        <v>49</v>
      </c>
      <c r="D625" s="27">
        <v>12</v>
      </c>
      <c r="E625" s="93">
        <f>22.69*(1.184419)</f>
        <v>26.874467110000005</v>
      </c>
      <c r="F625" s="93">
        <f>4.78*(1.184419)</f>
        <v>5.661522820000001</v>
      </c>
      <c r="G625" s="93"/>
      <c r="H625" s="104">
        <f t="shared" si="32"/>
        <v>32.535989930000007</v>
      </c>
      <c r="I625" s="105">
        <f t="shared" si="33"/>
        <v>390.43187916000011</v>
      </c>
    </row>
    <row r="626" spans="1:9" ht="15" thickBot="1" x14ac:dyDescent="0.35">
      <c r="A626" s="23" t="s">
        <v>1050</v>
      </c>
      <c r="B626" s="26" t="s">
        <v>1051</v>
      </c>
      <c r="C626" s="24" t="s">
        <v>49</v>
      </c>
      <c r="D626" s="27">
        <v>24</v>
      </c>
      <c r="E626" s="93">
        <f>9.19*(1.184419)</f>
        <v>10.884810610000001</v>
      </c>
      <c r="F626" s="93">
        <f>7.17*(1.184419)</f>
        <v>8.492284230000001</v>
      </c>
      <c r="G626" s="93"/>
      <c r="H626" s="104">
        <f t="shared" si="32"/>
        <v>19.377094840000002</v>
      </c>
      <c r="I626" s="105">
        <f t="shared" si="33"/>
        <v>465.05027616000007</v>
      </c>
    </row>
    <row r="627" spans="1:9" ht="15" thickBot="1" x14ac:dyDescent="0.35">
      <c r="A627" s="43" t="s">
        <v>1052</v>
      </c>
      <c r="B627" s="41" t="s">
        <v>1053</v>
      </c>
      <c r="C627" s="31"/>
      <c r="D627" s="31"/>
      <c r="E627" s="93"/>
      <c r="F627" s="93"/>
      <c r="G627" s="93"/>
      <c r="H627" s="104">
        <f t="shared" si="32"/>
        <v>0</v>
      </c>
      <c r="I627" s="119">
        <f>I628</f>
        <v>9477.5313309600024</v>
      </c>
    </row>
    <row r="628" spans="1:9" ht="15" thickBot="1" x14ac:dyDescent="0.35">
      <c r="A628" s="23" t="s">
        <v>1054</v>
      </c>
      <c r="B628" s="26" t="s">
        <v>1055</v>
      </c>
      <c r="C628" s="24" t="s">
        <v>135</v>
      </c>
      <c r="D628" s="27">
        <v>264</v>
      </c>
      <c r="E628" s="93">
        <f>26.55*(1.184419)</f>
        <v>31.446324450000002</v>
      </c>
      <c r="F628" s="93">
        <f>3.76*(1.184419)</f>
        <v>4.4534154400000006</v>
      </c>
      <c r="G628" s="93"/>
      <c r="H628" s="104">
        <f t="shared" si="32"/>
        <v>35.899739890000006</v>
      </c>
      <c r="I628" s="105">
        <f t="shared" si="33"/>
        <v>9477.5313309600024</v>
      </c>
    </row>
    <row r="629" spans="1:9" ht="15" thickBot="1" x14ac:dyDescent="0.35">
      <c r="A629" s="43" t="s">
        <v>1056</v>
      </c>
      <c r="B629" s="41" t="s">
        <v>1057</v>
      </c>
      <c r="C629" s="31"/>
      <c r="D629" s="31"/>
      <c r="E629" s="93"/>
      <c r="F629" s="93"/>
      <c r="G629" s="93"/>
      <c r="H629" s="104"/>
      <c r="I629" s="119">
        <f>SUM(I630:I634)</f>
        <v>10274.029420079998</v>
      </c>
    </row>
    <row r="630" spans="1:9" ht="28.2" thickBot="1" x14ac:dyDescent="0.35">
      <c r="A630" s="23" t="s">
        <v>1058</v>
      </c>
      <c r="B630" s="26" t="s">
        <v>1059</v>
      </c>
      <c r="C630" s="24" t="s">
        <v>49</v>
      </c>
      <c r="D630" s="27">
        <v>14</v>
      </c>
      <c r="E630" s="93">
        <f>66.45*(1.184419)</f>
        <v>78.704642550000017</v>
      </c>
      <c r="F630" s="93">
        <f>10.76*(1.184419)</f>
        <v>12.744348440000001</v>
      </c>
      <c r="G630" s="93">
        <f>0.94*(1.184419)</f>
        <v>1.1133538600000001</v>
      </c>
      <c r="H630" s="104">
        <f t="shared" si="32"/>
        <v>92.562344850000017</v>
      </c>
      <c r="I630" s="105">
        <f t="shared" si="33"/>
        <v>1295.8728279000002</v>
      </c>
    </row>
    <row r="631" spans="1:9" ht="15" thickBot="1" x14ac:dyDescent="0.35">
      <c r="A631" s="23" t="s">
        <v>1060</v>
      </c>
      <c r="B631" s="26" t="s">
        <v>1061</v>
      </c>
      <c r="C631" s="24" t="s">
        <v>49</v>
      </c>
      <c r="D631" s="27">
        <v>14</v>
      </c>
      <c r="E631" s="93">
        <f>5.87*(1.184419)</f>
        <v>6.952539530000001</v>
      </c>
      <c r="F631" s="93">
        <f>4.78*(1.184419)</f>
        <v>5.661522820000001</v>
      </c>
      <c r="G631" s="93"/>
      <c r="H631" s="104">
        <f t="shared" si="32"/>
        <v>12.614062350000001</v>
      </c>
      <c r="I631" s="105">
        <f t="shared" si="33"/>
        <v>176.59687290000002</v>
      </c>
    </row>
    <row r="632" spans="1:9" ht="15" thickBot="1" x14ac:dyDescent="0.35">
      <c r="A632" s="23" t="s">
        <v>1062</v>
      </c>
      <c r="B632" s="26" t="s">
        <v>1063</v>
      </c>
      <c r="C632" s="24" t="s">
        <v>135</v>
      </c>
      <c r="D632" s="27">
        <v>164</v>
      </c>
      <c r="E632" s="93">
        <f>31.36*(1.184419)</f>
        <v>37.143379840000001</v>
      </c>
      <c r="F632" s="93">
        <f>9.41*(1.184419)</f>
        <v>11.145382790000001</v>
      </c>
      <c r="G632" s="93"/>
      <c r="H632" s="104">
        <f t="shared" si="32"/>
        <v>48.288762630000001</v>
      </c>
      <c r="I632" s="105">
        <f t="shared" si="33"/>
        <v>7919.3570713199997</v>
      </c>
    </row>
    <row r="633" spans="1:9" ht="28.2" thickBot="1" x14ac:dyDescent="0.35">
      <c r="A633" s="23" t="s">
        <v>1064</v>
      </c>
      <c r="B633" s="26" t="s">
        <v>1065</v>
      </c>
      <c r="C633" s="24" t="s">
        <v>49</v>
      </c>
      <c r="D633" s="27">
        <v>2</v>
      </c>
      <c r="E633" s="93">
        <f>204.34*(1.184419)</f>
        <v>242.02417846000003</v>
      </c>
      <c r="F633" s="93">
        <f>24.23*(1.184419)</f>
        <v>28.698472370000005</v>
      </c>
      <c r="G633" s="93">
        <f>0.07*(1.184419)</f>
        <v>8.2909330000000017E-2</v>
      </c>
      <c r="H633" s="104">
        <f t="shared" si="32"/>
        <v>270.80556016000003</v>
      </c>
      <c r="I633" s="105">
        <f t="shared" si="33"/>
        <v>541.61112032000005</v>
      </c>
    </row>
    <row r="634" spans="1:9" ht="15" thickBot="1" x14ac:dyDescent="0.35">
      <c r="A634" s="23" t="s">
        <v>1066</v>
      </c>
      <c r="B634" s="26" t="s">
        <v>1067</v>
      </c>
      <c r="C634" s="24" t="s">
        <v>49</v>
      </c>
      <c r="D634" s="27">
        <v>14</v>
      </c>
      <c r="E634" s="93">
        <f>15.76*(1.184419)</f>
        <v>18.666443440000002</v>
      </c>
      <c r="F634" s="93">
        <f>4.78*(1.184419)</f>
        <v>5.661522820000001</v>
      </c>
      <c r="G634" s="93"/>
      <c r="H634" s="104">
        <f t="shared" si="32"/>
        <v>24.327966260000004</v>
      </c>
      <c r="I634" s="105">
        <f t="shared" si="33"/>
        <v>340.59152764000004</v>
      </c>
    </row>
    <row r="635" spans="1:9" ht="15" thickBot="1" x14ac:dyDescent="0.35">
      <c r="A635" s="30"/>
      <c r="B635" s="26"/>
      <c r="C635" s="26"/>
      <c r="D635" s="26"/>
      <c r="E635" s="93"/>
      <c r="F635" s="93"/>
      <c r="G635" s="93"/>
      <c r="H635" s="104"/>
      <c r="I635" s="105"/>
    </row>
    <row r="636" spans="1:9" ht="15" thickBot="1" x14ac:dyDescent="0.35">
      <c r="A636" s="34" t="s">
        <v>1068</v>
      </c>
      <c r="B636" s="36" t="s">
        <v>1069</v>
      </c>
      <c r="C636" s="35"/>
      <c r="D636" s="35"/>
      <c r="E636" s="35"/>
      <c r="F636" s="35"/>
      <c r="G636" s="35"/>
      <c r="H636" s="35"/>
      <c r="I636" s="117">
        <f>I637+I641+I645+I661+I672+I687+I698+I710+I721+I734+I744+I758+I775+I794+I818+0</f>
        <v>510181.61461980001</v>
      </c>
    </row>
    <row r="637" spans="1:9" ht="15" thickBot="1" x14ac:dyDescent="0.35">
      <c r="A637" s="40" t="s">
        <v>1070</v>
      </c>
      <c r="B637" s="41" t="s">
        <v>1071</v>
      </c>
      <c r="C637" s="26"/>
      <c r="D637" s="26"/>
      <c r="E637" s="93"/>
      <c r="F637" s="93"/>
      <c r="G637" s="93"/>
      <c r="H637" s="104"/>
      <c r="I637" s="119">
        <f>I638+I639</f>
        <v>3498.4065561100006</v>
      </c>
    </row>
    <row r="638" spans="1:9" ht="15" thickBot="1" x14ac:dyDescent="0.35">
      <c r="A638" s="23" t="s">
        <v>1072</v>
      </c>
      <c r="B638" s="26" t="s">
        <v>1073</v>
      </c>
      <c r="C638" s="24" t="s">
        <v>49</v>
      </c>
      <c r="D638" s="27">
        <v>1</v>
      </c>
      <c r="E638" s="93">
        <f>892.52*(1.184419)</f>
        <v>1057.1176458800001</v>
      </c>
      <c r="F638" s="93">
        <f>56.27*(1.184419)</f>
        <v>66.647257130000014</v>
      </c>
      <c r="G638" s="93">
        <f>4.9*(1.184419)</f>
        <v>5.8036531000000009</v>
      </c>
      <c r="H638" s="104">
        <f t="shared" si="32"/>
        <v>1129.5685561100001</v>
      </c>
      <c r="I638" s="105">
        <f t="shared" si="33"/>
        <v>1129.5685561100001</v>
      </c>
    </row>
    <row r="639" spans="1:9" ht="15" thickBot="1" x14ac:dyDescent="0.35">
      <c r="A639" s="23" t="s">
        <v>1074</v>
      </c>
      <c r="B639" s="31" t="s">
        <v>1075</v>
      </c>
      <c r="C639" s="24" t="s">
        <v>1076</v>
      </c>
      <c r="D639" s="32">
        <v>1</v>
      </c>
      <c r="E639" s="93">
        <f>2000*(1.184419)</f>
        <v>2368.8380000000002</v>
      </c>
      <c r="F639" s="93"/>
      <c r="G639" s="93"/>
      <c r="H639" s="104">
        <f t="shared" si="32"/>
        <v>2368.8380000000002</v>
      </c>
      <c r="I639" s="105">
        <f t="shared" si="33"/>
        <v>2368.8380000000002</v>
      </c>
    </row>
    <row r="640" spans="1:9" ht="15" thickBot="1" x14ac:dyDescent="0.35">
      <c r="A640" s="30"/>
      <c r="B640" s="31"/>
      <c r="C640" s="26"/>
      <c r="D640" s="26"/>
      <c r="E640" s="93"/>
      <c r="F640" s="93"/>
      <c r="G640" s="93"/>
      <c r="H640" s="104"/>
      <c r="I640" s="105"/>
    </row>
    <row r="641" spans="1:9" ht="15" thickBot="1" x14ac:dyDescent="0.35">
      <c r="A641" s="40" t="s">
        <v>1077</v>
      </c>
      <c r="B641" s="42" t="s">
        <v>1078</v>
      </c>
      <c r="C641" s="26"/>
      <c r="D641" s="26"/>
      <c r="E641" s="93"/>
      <c r="F641" s="93"/>
      <c r="G641" s="93"/>
      <c r="H641" s="104"/>
      <c r="I641" s="119">
        <f>I642+I643</f>
        <v>1060.7301238299999</v>
      </c>
    </row>
    <row r="642" spans="1:9" ht="15" thickBot="1" x14ac:dyDescent="0.35">
      <c r="A642" s="23" t="s">
        <v>1079</v>
      </c>
      <c r="B642" s="31" t="s">
        <v>1080</v>
      </c>
      <c r="C642" s="24" t="s">
        <v>49</v>
      </c>
      <c r="D642" s="27">
        <v>1</v>
      </c>
      <c r="E642" s="93">
        <f>188.33*(1.184419)</f>
        <v>223.06163027000002</v>
      </c>
      <c r="F642" s="93">
        <f>17.53*(1.184419)</f>
        <v>20.762865070000004</v>
      </c>
      <c r="G642" s="93">
        <f>1.52*(1.184419)</f>
        <v>1.8003168800000002</v>
      </c>
      <c r="H642" s="104">
        <f t="shared" si="32"/>
        <v>245.62481222000002</v>
      </c>
      <c r="I642" s="105">
        <f t="shared" si="33"/>
        <v>245.62481222000002</v>
      </c>
    </row>
    <row r="643" spans="1:9" ht="15" thickBot="1" x14ac:dyDescent="0.35">
      <c r="A643" s="23" t="s">
        <v>1081</v>
      </c>
      <c r="B643" s="31" t="s">
        <v>1082</v>
      </c>
      <c r="C643" s="24" t="s">
        <v>49</v>
      </c>
      <c r="D643" s="27">
        <v>1</v>
      </c>
      <c r="E643" s="93">
        <f>659.52*(1.184419)</f>
        <v>781.14801888</v>
      </c>
      <c r="F643" s="93">
        <f>26.37*(1.184419)</f>
        <v>31.233129030000004</v>
      </c>
      <c r="G643" s="93">
        <f>2.3*(1.184419)</f>
        <v>2.7241637000000001</v>
      </c>
      <c r="H643" s="104">
        <f t="shared" si="32"/>
        <v>815.10531160999994</v>
      </c>
      <c r="I643" s="105">
        <f t="shared" si="33"/>
        <v>815.10531160999994</v>
      </c>
    </row>
    <row r="644" spans="1:9" ht="15" thickBot="1" x14ac:dyDescent="0.35">
      <c r="A644" s="30"/>
      <c r="B644" s="31"/>
      <c r="C644" s="26"/>
      <c r="D644" s="26"/>
      <c r="E644" s="93"/>
      <c r="F644" s="93"/>
      <c r="G644" s="93"/>
      <c r="H644" s="104"/>
      <c r="I644" s="105"/>
    </row>
    <row r="645" spans="1:9" ht="15" thickBot="1" x14ac:dyDescent="0.35">
      <c r="A645" s="40" t="s">
        <v>1083</v>
      </c>
      <c r="B645" s="42" t="s">
        <v>1084</v>
      </c>
      <c r="C645" s="26"/>
      <c r="D645" s="26"/>
      <c r="E645" s="93"/>
      <c r="F645" s="93"/>
      <c r="G645" s="93"/>
      <c r="H645" s="104"/>
      <c r="I645" s="119">
        <f>SUM(I646:I659)</f>
        <v>13016.741121620003</v>
      </c>
    </row>
    <row r="646" spans="1:9" ht="15" thickBot="1" x14ac:dyDescent="0.35">
      <c r="A646" s="23" t="s">
        <v>1085</v>
      </c>
      <c r="B646" s="31" t="s">
        <v>1086</v>
      </c>
      <c r="C646" s="24" t="s">
        <v>49</v>
      </c>
      <c r="D646" s="27">
        <v>1</v>
      </c>
      <c r="E646" s="93">
        <f>67.72*(1.184419)</f>
        <v>80.208854680000002</v>
      </c>
      <c r="F646" s="93">
        <f>17.25*(1.184419)</f>
        <v>20.431227750000001</v>
      </c>
      <c r="G646" s="93">
        <f>1.5*(1.184419)</f>
        <v>1.7766285000000002</v>
      </c>
      <c r="H646" s="104">
        <f t="shared" si="32"/>
        <v>102.41671093000001</v>
      </c>
      <c r="I646" s="105">
        <f t="shared" si="33"/>
        <v>102.41671093000001</v>
      </c>
    </row>
    <row r="647" spans="1:9" ht="15" thickBot="1" x14ac:dyDescent="0.35">
      <c r="A647" s="23" t="s">
        <v>1087</v>
      </c>
      <c r="B647" s="31" t="s">
        <v>1088</v>
      </c>
      <c r="C647" s="24" t="s">
        <v>49</v>
      </c>
      <c r="D647" s="27">
        <v>4</v>
      </c>
      <c r="E647" s="93">
        <f>215*(1.184419)</f>
        <v>254.65008500000002</v>
      </c>
      <c r="F647" s="93">
        <f>30.21*(1.184419)</f>
        <v>35.781297990000006</v>
      </c>
      <c r="G647" s="93"/>
      <c r="H647" s="104">
        <f t="shared" si="32"/>
        <v>290.43138299000003</v>
      </c>
      <c r="I647" s="105">
        <f t="shared" si="33"/>
        <v>1161.7255319600001</v>
      </c>
    </row>
    <row r="648" spans="1:9" ht="15" thickBot="1" x14ac:dyDescent="0.35">
      <c r="A648" s="23" t="s">
        <v>1089</v>
      </c>
      <c r="B648" s="31" t="s">
        <v>1090</v>
      </c>
      <c r="C648" s="24" t="s">
        <v>49</v>
      </c>
      <c r="D648" s="27">
        <v>3</v>
      </c>
      <c r="E648" s="93">
        <f>8.01*(1.184419)</f>
        <v>9.4871961900000006</v>
      </c>
      <c r="F648" s="93">
        <f>9.56*(1.184419)</f>
        <v>11.323045640000002</v>
      </c>
      <c r="G648" s="93"/>
      <c r="H648" s="104">
        <f t="shared" ref="H648:H711" si="34">E648+F648+G648</f>
        <v>20.810241830000002</v>
      </c>
      <c r="I648" s="105">
        <f t="shared" ref="I648:I711" si="35">H648*D648</f>
        <v>62.430725490000007</v>
      </c>
    </row>
    <row r="649" spans="1:9" ht="15" thickBot="1" x14ac:dyDescent="0.35">
      <c r="A649" s="23" t="s">
        <v>1091</v>
      </c>
      <c r="B649" s="31" t="s">
        <v>1092</v>
      </c>
      <c r="C649" s="24" t="s">
        <v>49</v>
      </c>
      <c r="D649" s="27">
        <v>1</v>
      </c>
      <c r="E649" s="93">
        <f>3928.98*(1.184419)</f>
        <v>4653.5585626200009</v>
      </c>
      <c r="F649" s="93">
        <f>1432.42*(1.184419)</f>
        <v>1696.5854639800002</v>
      </c>
      <c r="G649" s="93">
        <f>130.77*(1.184419)</f>
        <v>154.88647263000001</v>
      </c>
      <c r="H649" s="104">
        <f t="shared" si="34"/>
        <v>6505.0304992300007</v>
      </c>
      <c r="I649" s="105">
        <f t="shared" si="35"/>
        <v>6505.0304992300007</v>
      </c>
    </row>
    <row r="650" spans="1:9" ht="15" thickBot="1" x14ac:dyDescent="0.35">
      <c r="A650" s="23" t="s">
        <v>1093</v>
      </c>
      <c r="B650" s="31" t="s">
        <v>1094</v>
      </c>
      <c r="C650" s="24" t="s">
        <v>49</v>
      </c>
      <c r="D650" s="27">
        <v>3</v>
      </c>
      <c r="E650" s="93">
        <f>115.74*(1.184419)</f>
        <v>137.08465506000002</v>
      </c>
      <c r="F650" s="93">
        <f>10.27*(1.184419)</f>
        <v>12.16398313</v>
      </c>
      <c r="G650" s="93"/>
      <c r="H650" s="104">
        <f t="shared" si="34"/>
        <v>149.24863819000001</v>
      </c>
      <c r="I650" s="105">
        <f t="shared" si="35"/>
        <v>447.74591457000002</v>
      </c>
    </row>
    <row r="651" spans="1:9" ht="28.2" thickBot="1" x14ac:dyDescent="0.35">
      <c r="A651" s="23" t="s">
        <v>1095</v>
      </c>
      <c r="B651" s="31" t="s">
        <v>1096</v>
      </c>
      <c r="C651" s="24" t="s">
        <v>49</v>
      </c>
      <c r="D651" s="27">
        <v>1</v>
      </c>
      <c r="E651" s="93">
        <f>892.52*(1.184419)</f>
        <v>1057.1176458800001</v>
      </c>
      <c r="F651" s="93">
        <f>56.27*(1.184419)</f>
        <v>66.647257130000014</v>
      </c>
      <c r="G651" s="93">
        <f>4.9*(1.184419)</f>
        <v>5.8036531000000009</v>
      </c>
      <c r="H651" s="104">
        <f t="shared" si="34"/>
        <v>1129.5685561100001</v>
      </c>
      <c r="I651" s="105">
        <f t="shared" si="35"/>
        <v>1129.5685561100001</v>
      </c>
    </row>
    <row r="652" spans="1:9" ht="28.2" thickBot="1" x14ac:dyDescent="0.35">
      <c r="A652" s="23" t="s">
        <v>1097</v>
      </c>
      <c r="B652" s="31" t="s">
        <v>1098</v>
      </c>
      <c r="C652" s="24" t="s">
        <v>49</v>
      </c>
      <c r="D652" s="27">
        <v>3</v>
      </c>
      <c r="E652" s="93">
        <f>118.42*(1.184419)</f>
        <v>140.25889798000003</v>
      </c>
      <c r="F652" s="93">
        <f>33.3*(1.184419)</f>
        <v>39.441152700000004</v>
      </c>
      <c r="G652" s="93">
        <f>2.9*(1.184419)</f>
        <v>3.4348151000000002</v>
      </c>
      <c r="H652" s="104">
        <f t="shared" si="34"/>
        <v>183.13486578000004</v>
      </c>
      <c r="I652" s="105">
        <f t="shared" si="35"/>
        <v>549.40459734000012</v>
      </c>
    </row>
    <row r="653" spans="1:9" ht="28.2" thickBot="1" x14ac:dyDescent="0.35">
      <c r="A653" s="23" t="s">
        <v>1099</v>
      </c>
      <c r="B653" s="31" t="s">
        <v>1100</v>
      </c>
      <c r="C653" s="24" t="s">
        <v>49</v>
      </c>
      <c r="D653" s="27">
        <v>1</v>
      </c>
      <c r="E653" s="93">
        <f>347.48*(1.184419)</f>
        <v>411.56191412000004</v>
      </c>
      <c r="F653" s="93">
        <f>56.27*(1.184419)</f>
        <v>66.647257130000014</v>
      </c>
      <c r="G653" s="93">
        <f>4.9*(1.184419)</f>
        <v>5.8036531000000009</v>
      </c>
      <c r="H653" s="104">
        <f t="shared" si="34"/>
        <v>484.01282435000007</v>
      </c>
      <c r="I653" s="105">
        <f t="shared" si="35"/>
        <v>484.01282435000007</v>
      </c>
    </row>
    <row r="654" spans="1:9" ht="28.2" thickBot="1" x14ac:dyDescent="0.35">
      <c r="A654" s="23" t="s">
        <v>1101</v>
      </c>
      <c r="B654" s="31" t="s">
        <v>1098</v>
      </c>
      <c r="C654" s="24" t="s">
        <v>49</v>
      </c>
      <c r="D654" s="27">
        <v>3</v>
      </c>
      <c r="E654" s="93">
        <f>118.42*(1.184419)</f>
        <v>140.25889798000003</v>
      </c>
      <c r="F654" s="93">
        <f>33.3*(1.184419)</f>
        <v>39.441152700000004</v>
      </c>
      <c r="G654" s="93">
        <f>2.9*(1.184419)</f>
        <v>3.4348151000000002</v>
      </c>
      <c r="H654" s="104">
        <f t="shared" si="34"/>
        <v>183.13486578000004</v>
      </c>
      <c r="I654" s="105">
        <f t="shared" si="35"/>
        <v>549.40459734000012</v>
      </c>
    </row>
    <row r="655" spans="1:9" ht="28.2" thickBot="1" x14ac:dyDescent="0.35">
      <c r="A655" s="23" t="s">
        <v>1102</v>
      </c>
      <c r="B655" s="31" t="s">
        <v>1098</v>
      </c>
      <c r="C655" s="24" t="s">
        <v>49</v>
      </c>
      <c r="D655" s="27">
        <v>1</v>
      </c>
      <c r="E655" s="93">
        <f>118.42*(1.184419)</f>
        <v>140.25889798000003</v>
      </c>
      <c r="F655" s="93">
        <f>33.3*(1.184419)</f>
        <v>39.441152700000004</v>
      </c>
      <c r="G655" s="93">
        <f>2.9*(1.184419)</f>
        <v>3.4348151000000002</v>
      </c>
      <c r="H655" s="104">
        <f t="shared" si="34"/>
        <v>183.13486578000004</v>
      </c>
      <c r="I655" s="105">
        <f t="shared" si="35"/>
        <v>183.13486578000004</v>
      </c>
    </row>
    <row r="656" spans="1:9" ht="28.2" thickBot="1" x14ac:dyDescent="0.35">
      <c r="A656" s="23" t="s">
        <v>1103</v>
      </c>
      <c r="B656" s="31" t="s">
        <v>1104</v>
      </c>
      <c r="C656" s="24" t="s">
        <v>49</v>
      </c>
      <c r="D656" s="27">
        <v>1</v>
      </c>
      <c r="E656" s="93">
        <f>65.78*(1.184419)</f>
        <v>77.911081820000007</v>
      </c>
      <c r="F656" s="93">
        <f>11.63*(1.184419)</f>
        <v>13.774792970000002</v>
      </c>
      <c r="G656" s="93">
        <f>1.02*(1.184419)</f>
        <v>1.2081073800000002</v>
      </c>
      <c r="H656" s="104">
        <f t="shared" si="34"/>
        <v>92.893982170000015</v>
      </c>
      <c r="I656" s="105">
        <f t="shared" si="35"/>
        <v>92.893982170000015</v>
      </c>
    </row>
    <row r="657" spans="1:9" ht="28.2" thickBot="1" x14ac:dyDescent="0.35">
      <c r="A657" s="23" t="s">
        <v>1105</v>
      </c>
      <c r="B657" s="31" t="s">
        <v>1106</v>
      </c>
      <c r="C657" s="24" t="s">
        <v>49</v>
      </c>
      <c r="D657" s="27">
        <v>1</v>
      </c>
      <c r="E657" s="93">
        <f>67.72*(1.184419)</f>
        <v>80.208854680000002</v>
      </c>
      <c r="F657" s="93">
        <f>17.25*(1.184419)</f>
        <v>20.431227750000001</v>
      </c>
      <c r="G657" s="93">
        <f>1.5*(1.184419)</f>
        <v>1.7766285000000002</v>
      </c>
      <c r="H657" s="104">
        <f t="shared" si="34"/>
        <v>102.41671093000001</v>
      </c>
      <c r="I657" s="105">
        <f t="shared" si="35"/>
        <v>102.41671093000001</v>
      </c>
    </row>
    <row r="658" spans="1:9" ht="28.2" thickBot="1" x14ac:dyDescent="0.35">
      <c r="A658" s="23" t="s">
        <v>1107</v>
      </c>
      <c r="B658" s="31" t="s">
        <v>1108</v>
      </c>
      <c r="C658" s="24" t="s">
        <v>49</v>
      </c>
      <c r="D658" s="27">
        <v>1</v>
      </c>
      <c r="E658" s="93">
        <f>70.55*(1.184419)</f>
        <v>83.560760450000004</v>
      </c>
      <c r="F658" s="93">
        <f>24.14*(1.184419)</f>
        <v>28.591874660000002</v>
      </c>
      <c r="G658" s="93">
        <f>2.1*(1.184419)</f>
        <v>2.4872799000000003</v>
      </c>
      <c r="H658" s="104">
        <f t="shared" si="34"/>
        <v>114.63991501000001</v>
      </c>
      <c r="I658" s="105">
        <f t="shared" si="35"/>
        <v>114.63991501000001</v>
      </c>
    </row>
    <row r="659" spans="1:9" ht="28.2" thickBot="1" x14ac:dyDescent="0.35">
      <c r="A659" s="23" t="s">
        <v>1109</v>
      </c>
      <c r="B659" s="31" t="s">
        <v>1110</v>
      </c>
      <c r="C659" s="24" t="s">
        <v>49</v>
      </c>
      <c r="D659" s="27">
        <v>1</v>
      </c>
      <c r="E659" s="93">
        <f>791.51*(1.184419)</f>
        <v>937.47948269000005</v>
      </c>
      <c r="F659" s="93">
        <f>500.72*(1.184419)</f>
        <v>593.06228168000007</v>
      </c>
      <c r="G659" s="93">
        <f>1.16*(1.184419)</f>
        <v>1.37392604</v>
      </c>
      <c r="H659" s="104">
        <f t="shared" si="34"/>
        <v>1531.9156904100003</v>
      </c>
      <c r="I659" s="105">
        <f t="shared" si="35"/>
        <v>1531.9156904100003</v>
      </c>
    </row>
    <row r="660" spans="1:9" ht="15" thickBot="1" x14ac:dyDescent="0.35">
      <c r="A660" s="30"/>
      <c r="B660" s="31"/>
      <c r="C660" s="26"/>
      <c r="D660" s="26"/>
      <c r="E660" s="93"/>
      <c r="F660" s="93"/>
      <c r="G660" s="93"/>
      <c r="H660" s="104"/>
      <c r="I660" s="105"/>
    </row>
    <row r="661" spans="1:9" ht="15" thickBot="1" x14ac:dyDescent="0.35">
      <c r="A661" s="40" t="s">
        <v>1111</v>
      </c>
      <c r="B661" s="42" t="s">
        <v>1112</v>
      </c>
      <c r="C661" s="26"/>
      <c r="D661" s="26"/>
      <c r="E661" s="93"/>
      <c r="F661" s="93"/>
      <c r="G661" s="93"/>
      <c r="H661" s="104"/>
      <c r="I661" s="119">
        <f>SUM(I662:I670)</f>
        <v>5568.8065006800007</v>
      </c>
    </row>
    <row r="662" spans="1:9" ht="28.2" thickBot="1" x14ac:dyDescent="0.35">
      <c r="A662" s="23" t="s">
        <v>1113</v>
      </c>
      <c r="B662" s="31" t="s">
        <v>1114</v>
      </c>
      <c r="C662" s="24" t="s">
        <v>49</v>
      </c>
      <c r="D662" s="27">
        <v>1</v>
      </c>
      <c r="E662" s="93">
        <f>254.36*(1.184419)</f>
        <v>301.26881684000006</v>
      </c>
      <c r="F662" s="93">
        <f>85.06*(1.184419)</f>
        <v>100.74668014000001</v>
      </c>
      <c r="G662" s="93">
        <f>7.4*(1.184419)</f>
        <v>8.7647006000000012</v>
      </c>
      <c r="H662" s="104">
        <f t="shared" si="34"/>
        <v>410.78019758000011</v>
      </c>
      <c r="I662" s="105">
        <f t="shared" si="35"/>
        <v>410.78019758000011</v>
      </c>
    </row>
    <row r="663" spans="1:9" ht="28.2" thickBot="1" x14ac:dyDescent="0.35">
      <c r="A663" s="23" t="s">
        <v>1115</v>
      </c>
      <c r="B663" s="31" t="s">
        <v>1106</v>
      </c>
      <c r="C663" s="24" t="s">
        <v>49</v>
      </c>
      <c r="D663" s="27">
        <v>1</v>
      </c>
      <c r="E663" s="93">
        <f>67.72*(1.184419)</f>
        <v>80.208854680000002</v>
      </c>
      <c r="F663" s="93">
        <f>17.25*(1.184419)</f>
        <v>20.431227750000001</v>
      </c>
      <c r="G663" s="93">
        <f>1.5*(1.184419)</f>
        <v>1.7766285000000002</v>
      </c>
      <c r="H663" s="104">
        <f t="shared" si="34"/>
        <v>102.41671093000001</v>
      </c>
      <c r="I663" s="105">
        <f t="shared" si="35"/>
        <v>102.41671093000001</v>
      </c>
    </row>
    <row r="664" spans="1:9" ht="15" thickBot="1" x14ac:dyDescent="0.35">
      <c r="A664" s="23" t="s">
        <v>1116</v>
      </c>
      <c r="B664" s="31" t="s">
        <v>1117</v>
      </c>
      <c r="C664" s="24" t="s">
        <v>49</v>
      </c>
      <c r="D664" s="27">
        <v>3</v>
      </c>
      <c r="E664" s="93">
        <f>185*(1.184419)</f>
        <v>219.11751500000003</v>
      </c>
      <c r="F664" s="93">
        <f>30.21*(1.184419)</f>
        <v>35.781297990000006</v>
      </c>
      <c r="G664" s="93"/>
      <c r="H664" s="104">
        <f t="shared" si="34"/>
        <v>254.89881299000004</v>
      </c>
      <c r="I664" s="105">
        <f t="shared" si="35"/>
        <v>764.69643897000014</v>
      </c>
    </row>
    <row r="665" spans="1:9" ht="28.2" thickBot="1" x14ac:dyDescent="0.35">
      <c r="A665" s="23" t="s">
        <v>1118</v>
      </c>
      <c r="B665" s="31" t="s">
        <v>1119</v>
      </c>
      <c r="C665" s="24" t="s">
        <v>49</v>
      </c>
      <c r="D665" s="27">
        <v>24</v>
      </c>
      <c r="E665" s="93">
        <f>9.8*(1.184419)</f>
        <v>11.607306200000002</v>
      </c>
      <c r="F665" s="93">
        <f>2.03*(1.184419)</f>
        <v>2.4043705700000002</v>
      </c>
      <c r="G665" s="93">
        <f>0.18*(1.184419)</f>
        <v>0.21319542000000002</v>
      </c>
      <c r="H665" s="104">
        <f t="shared" si="34"/>
        <v>14.224872190000001</v>
      </c>
      <c r="I665" s="105">
        <f t="shared" si="35"/>
        <v>341.39693256000004</v>
      </c>
    </row>
    <row r="666" spans="1:9" ht="28.2" thickBot="1" x14ac:dyDescent="0.35">
      <c r="A666" s="23" t="s">
        <v>1120</v>
      </c>
      <c r="B666" s="31" t="s">
        <v>1121</v>
      </c>
      <c r="C666" s="24" t="s">
        <v>49</v>
      </c>
      <c r="D666" s="27">
        <v>10</v>
      </c>
      <c r="E666" s="93">
        <f>50.35*(1.184419)</f>
        <v>59.635496650000007</v>
      </c>
      <c r="F666" s="93">
        <f>4.05*(1.184419)</f>
        <v>4.7968969499999998</v>
      </c>
      <c r="G666" s="93">
        <f>0.36*(1.184419)</f>
        <v>0.42639084000000005</v>
      </c>
      <c r="H666" s="104">
        <f t="shared" si="34"/>
        <v>64.858784440000008</v>
      </c>
      <c r="I666" s="105">
        <f t="shared" si="35"/>
        <v>648.58784440000011</v>
      </c>
    </row>
    <row r="667" spans="1:9" ht="28.2" thickBot="1" x14ac:dyDescent="0.35">
      <c r="A667" s="23" t="s">
        <v>1122</v>
      </c>
      <c r="B667" s="31" t="s">
        <v>1123</v>
      </c>
      <c r="C667" s="24" t="s">
        <v>49</v>
      </c>
      <c r="D667" s="27">
        <v>5</v>
      </c>
      <c r="E667" s="93">
        <f>51.4*(1.184419)</f>
        <v>60.879136600000002</v>
      </c>
      <c r="F667" s="93">
        <f>5.64*(1.184419)</f>
        <v>6.6801231599999999</v>
      </c>
      <c r="G667" s="93">
        <f>0.5*(1.184419)</f>
        <v>0.59220950000000006</v>
      </c>
      <c r="H667" s="104">
        <f t="shared" si="34"/>
        <v>68.151469259999999</v>
      </c>
      <c r="I667" s="105">
        <f t="shared" si="35"/>
        <v>340.75734629999999</v>
      </c>
    </row>
    <row r="668" spans="1:9" ht="28.2" thickBot="1" x14ac:dyDescent="0.35">
      <c r="A668" s="23" t="s">
        <v>1124</v>
      </c>
      <c r="B668" s="31" t="s">
        <v>1125</v>
      </c>
      <c r="C668" s="24" t="s">
        <v>49</v>
      </c>
      <c r="D668" s="27">
        <v>1</v>
      </c>
      <c r="E668" s="93">
        <f>160.69*(1.184419)</f>
        <v>190.32428911000002</v>
      </c>
      <c r="F668" s="93">
        <f>24.23*(1.184419)</f>
        <v>28.698472370000005</v>
      </c>
      <c r="G668" s="93">
        <f>0.07*(1.184419)</f>
        <v>8.2909330000000017E-2</v>
      </c>
      <c r="H668" s="104">
        <f t="shared" si="34"/>
        <v>219.10567081000005</v>
      </c>
      <c r="I668" s="105">
        <f t="shared" si="35"/>
        <v>219.10567081000005</v>
      </c>
    </row>
    <row r="669" spans="1:9" ht="15" thickBot="1" x14ac:dyDescent="0.35">
      <c r="A669" s="23" t="s">
        <v>1126</v>
      </c>
      <c r="B669" s="31" t="s">
        <v>1127</v>
      </c>
      <c r="C669" s="24" t="s">
        <v>49</v>
      </c>
      <c r="D669" s="27">
        <v>4</v>
      </c>
      <c r="E669" s="93">
        <f>243.27*(1.184419)</f>
        <v>288.13361013000002</v>
      </c>
      <c r="F669" s="93">
        <f>11.95*(1.184419)</f>
        <v>14.153807050000001</v>
      </c>
      <c r="G669" s="93"/>
      <c r="H669" s="104">
        <f t="shared" si="34"/>
        <v>302.28741718000003</v>
      </c>
      <c r="I669" s="105">
        <f t="shared" si="35"/>
        <v>1209.1496687200001</v>
      </c>
    </row>
    <row r="670" spans="1:9" ht="28.2" thickBot="1" x14ac:dyDescent="0.35">
      <c r="A670" s="23" t="s">
        <v>1128</v>
      </c>
      <c r="B670" s="31" t="s">
        <v>1110</v>
      </c>
      <c r="C670" s="24" t="s">
        <v>49</v>
      </c>
      <c r="D670" s="27">
        <v>1</v>
      </c>
      <c r="E670" s="93">
        <f>791.51*(1.184419)</f>
        <v>937.47948269000005</v>
      </c>
      <c r="F670" s="93">
        <f>500.72*(1.184419)</f>
        <v>593.06228168000007</v>
      </c>
      <c r="G670" s="93">
        <f>1.16*(1.184419)</f>
        <v>1.37392604</v>
      </c>
      <c r="H670" s="104">
        <f t="shared" si="34"/>
        <v>1531.9156904100003</v>
      </c>
      <c r="I670" s="105">
        <f t="shared" si="35"/>
        <v>1531.9156904100003</v>
      </c>
    </row>
    <row r="671" spans="1:9" ht="15" thickBot="1" x14ac:dyDescent="0.35">
      <c r="A671" s="30"/>
      <c r="B671" s="31"/>
      <c r="C671" s="26"/>
      <c r="D671" s="26"/>
      <c r="E671" s="93"/>
      <c r="F671" s="93"/>
      <c r="G671" s="93"/>
      <c r="H671" s="104"/>
      <c r="I671" s="105"/>
    </row>
    <row r="672" spans="1:9" ht="15" thickBot="1" x14ac:dyDescent="0.35">
      <c r="A672" s="40" t="s">
        <v>1129</v>
      </c>
      <c r="B672" s="42" t="s">
        <v>1130</v>
      </c>
      <c r="C672" s="26"/>
      <c r="D672" s="26"/>
      <c r="E672" s="93"/>
      <c r="F672" s="93"/>
      <c r="G672" s="93"/>
      <c r="H672" s="104"/>
      <c r="I672" s="119">
        <f>SUM(I673:I685)</f>
        <v>7895.2541446700006</v>
      </c>
    </row>
    <row r="673" spans="1:9" ht="28.2" thickBot="1" x14ac:dyDescent="0.35">
      <c r="A673" s="23" t="s">
        <v>1131</v>
      </c>
      <c r="B673" s="31" t="s">
        <v>1132</v>
      </c>
      <c r="C673" s="24" t="s">
        <v>49</v>
      </c>
      <c r="D673" s="27">
        <v>1</v>
      </c>
      <c r="E673" s="93">
        <f>307.45*(1.184419)</f>
        <v>364.14962155000001</v>
      </c>
      <c r="F673" s="93">
        <f>92.58*(1.184419)</f>
        <v>109.65351102000001</v>
      </c>
      <c r="G673" s="93"/>
      <c r="H673" s="104">
        <f t="shared" si="34"/>
        <v>473.80313257</v>
      </c>
      <c r="I673" s="105">
        <f t="shared" si="35"/>
        <v>473.80313257</v>
      </c>
    </row>
    <row r="674" spans="1:9" ht="28.2" thickBot="1" x14ac:dyDescent="0.35">
      <c r="A674" s="23" t="s">
        <v>1133</v>
      </c>
      <c r="B674" s="31" t="s">
        <v>1106</v>
      </c>
      <c r="C674" s="24" t="s">
        <v>49</v>
      </c>
      <c r="D674" s="27">
        <v>1</v>
      </c>
      <c r="E674" s="93">
        <f>67.72*(1.184419)</f>
        <v>80.208854680000002</v>
      </c>
      <c r="F674" s="93">
        <f>17.25*(1.184419)</f>
        <v>20.431227750000001</v>
      </c>
      <c r="G674" s="93">
        <f>1.5*(1.184419)</f>
        <v>1.7766285000000002</v>
      </c>
      <c r="H674" s="104">
        <f t="shared" si="34"/>
        <v>102.41671093000001</v>
      </c>
      <c r="I674" s="105">
        <f t="shared" si="35"/>
        <v>102.41671093000001</v>
      </c>
    </row>
    <row r="675" spans="1:9" ht="15" thickBot="1" x14ac:dyDescent="0.35">
      <c r="A675" s="23" t="s">
        <v>1134</v>
      </c>
      <c r="B675" s="31" t="s">
        <v>1117</v>
      </c>
      <c r="C675" s="24" t="s">
        <v>49</v>
      </c>
      <c r="D675" s="27">
        <v>3</v>
      </c>
      <c r="E675" s="93">
        <f>185*(1.184419)</f>
        <v>219.11751500000003</v>
      </c>
      <c r="F675" s="93">
        <f>30.21*(1.184419)</f>
        <v>35.781297990000006</v>
      </c>
      <c r="G675" s="93"/>
      <c r="H675" s="104">
        <f t="shared" si="34"/>
        <v>254.89881299000004</v>
      </c>
      <c r="I675" s="105">
        <f t="shared" si="35"/>
        <v>764.69643897000014</v>
      </c>
    </row>
    <row r="676" spans="1:9" ht="28.2" thickBot="1" x14ac:dyDescent="0.35">
      <c r="A676" s="23" t="s">
        <v>1135</v>
      </c>
      <c r="B676" s="31" t="s">
        <v>1119</v>
      </c>
      <c r="C676" s="24" t="s">
        <v>49</v>
      </c>
      <c r="D676" s="27">
        <v>27</v>
      </c>
      <c r="E676" s="93">
        <f>9.8*(1.184419)</f>
        <v>11.607306200000002</v>
      </c>
      <c r="F676" s="93">
        <f>2.03*(1.184419)</f>
        <v>2.4043705700000002</v>
      </c>
      <c r="G676" s="93">
        <f>0.18*(1.184419)</f>
        <v>0.21319542000000002</v>
      </c>
      <c r="H676" s="104">
        <f t="shared" si="34"/>
        <v>14.224872190000001</v>
      </c>
      <c r="I676" s="105">
        <f t="shared" si="35"/>
        <v>384.07154913000005</v>
      </c>
    </row>
    <row r="677" spans="1:9" ht="28.2" thickBot="1" x14ac:dyDescent="0.35">
      <c r="A677" s="23" t="s">
        <v>1136</v>
      </c>
      <c r="B677" s="31" t="s">
        <v>1121</v>
      </c>
      <c r="C677" s="24" t="s">
        <v>49</v>
      </c>
      <c r="D677" s="27">
        <v>10</v>
      </c>
      <c r="E677" s="93">
        <f>50.35*(1.184419)</f>
        <v>59.635496650000007</v>
      </c>
      <c r="F677" s="93">
        <f>4.05*(1.184419)</f>
        <v>4.7968969499999998</v>
      </c>
      <c r="G677" s="93">
        <f>0.36*(1.184419)</f>
        <v>0.42639084000000005</v>
      </c>
      <c r="H677" s="104">
        <f t="shared" si="34"/>
        <v>64.858784440000008</v>
      </c>
      <c r="I677" s="105">
        <f t="shared" si="35"/>
        <v>648.58784440000011</v>
      </c>
    </row>
    <row r="678" spans="1:9" ht="28.2" thickBot="1" x14ac:dyDescent="0.35">
      <c r="A678" s="23" t="s">
        <v>1137</v>
      </c>
      <c r="B678" s="31" t="s">
        <v>1123</v>
      </c>
      <c r="C678" s="24" t="s">
        <v>49</v>
      </c>
      <c r="D678" s="27">
        <v>7</v>
      </c>
      <c r="E678" s="93">
        <f>51.4*(1.184419)</f>
        <v>60.879136600000002</v>
      </c>
      <c r="F678" s="93">
        <f>5.64*(1.184419)</f>
        <v>6.6801231599999999</v>
      </c>
      <c r="G678" s="93">
        <f>0.5*(1.184419)</f>
        <v>0.59220950000000006</v>
      </c>
      <c r="H678" s="104">
        <f t="shared" si="34"/>
        <v>68.151469259999999</v>
      </c>
      <c r="I678" s="105">
        <f t="shared" si="35"/>
        <v>477.06028481999999</v>
      </c>
    </row>
    <row r="679" spans="1:9" ht="28.2" thickBot="1" x14ac:dyDescent="0.35">
      <c r="A679" s="23" t="s">
        <v>1138</v>
      </c>
      <c r="B679" s="31" t="s">
        <v>1139</v>
      </c>
      <c r="C679" s="24" t="s">
        <v>49</v>
      </c>
      <c r="D679" s="27">
        <v>1</v>
      </c>
      <c r="E679" s="93">
        <f>62.57*(1.184419)</f>
        <v>74.109096830000013</v>
      </c>
      <c r="F679" s="93">
        <f>6.08*(1.184419)</f>
        <v>7.2012675200000009</v>
      </c>
      <c r="G679" s="93">
        <f>0.52*(1.184419)</f>
        <v>0.61589788000000012</v>
      </c>
      <c r="H679" s="104">
        <f t="shared" si="34"/>
        <v>81.92626223000002</v>
      </c>
      <c r="I679" s="105">
        <f t="shared" si="35"/>
        <v>81.92626223000002</v>
      </c>
    </row>
    <row r="680" spans="1:9" ht="28.2" thickBot="1" x14ac:dyDescent="0.35">
      <c r="A680" s="23" t="s">
        <v>1140</v>
      </c>
      <c r="B680" s="31" t="s">
        <v>1141</v>
      </c>
      <c r="C680" s="24" t="s">
        <v>49</v>
      </c>
      <c r="D680" s="27">
        <v>1</v>
      </c>
      <c r="E680" s="93">
        <f>64.14*(1.184419)</f>
        <v>75.968634660000006</v>
      </c>
      <c r="F680" s="93">
        <f>8.46*(1.184419)</f>
        <v>10.020184740000001</v>
      </c>
      <c r="G680" s="93">
        <f>0.74*(1.184419)</f>
        <v>0.87647006000000005</v>
      </c>
      <c r="H680" s="104">
        <f t="shared" si="34"/>
        <v>86.865289460000014</v>
      </c>
      <c r="I680" s="105">
        <f t="shared" si="35"/>
        <v>86.865289460000014</v>
      </c>
    </row>
    <row r="681" spans="1:9" ht="28.2" thickBot="1" x14ac:dyDescent="0.35">
      <c r="A681" s="23" t="s">
        <v>1142</v>
      </c>
      <c r="B681" s="31" t="s">
        <v>1143</v>
      </c>
      <c r="C681" s="24" t="s">
        <v>49</v>
      </c>
      <c r="D681" s="27">
        <v>1</v>
      </c>
      <c r="E681" s="93">
        <f>64.14*(1.184419)</f>
        <v>75.968634660000006</v>
      </c>
      <c r="F681" s="93">
        <f>8.46*(1.184419)</f>
        <v>10.020184740000001</v>
      </c>
      <c r="G681" s="93">
        <f>0.74*(1.184419)</f>
        <v>0.87647006000000005</v>
      </c>
      <c r="H681" s="104">
        <f t="shared" si="34"/>
        <v>86.865289460000014</v>
      </c>
      <c r="I681" s="105">
        <f t="shared" si="35"/>
        <v>86.865289460000014</v>
      </c>
    </row>
    <row r="682" spans="1:9" ht="28.2" thickBot="1" x14ac:dyDescent="0.35">
      <c r="A682" s="23" t="s">
        <v>1144</v>
      </c>
      <c r="B682" s="31" t="s">
        <v>1104</v>
      </c>
      <c r="C682" s="24" t="s">
        <v>49</v>
      </c>
      <c r="D682" s="27">
        <v>1</v>
      </c>
      <c r="E682" s="93">
        <f>65.78*(1.184419)</f>
        <v>77.911081820000007</v>
      </c>
      <c r="F682" s="93">
        <f>11.63*(1.184419)</f>
        <v>13.774792970000002</v>
      </c>
      <c r="G682" s="93">
        <f>1.02*(1.184419)</f>
        <v>1.2081073800000002</v>
      </c>
      <c r="H682" s="104">
        <f t="shared" si="34"/>
        <v>92.893982170000015</v>
      </c>
      <c r="I682" s="105">
        <f t="shared" si="35"/>
        <v>92.893982170000015</v>
      </c>
    </row>
    <row r="683" spans="1:9" ht="15" thickBot="1" x14ac:dyDescent="0.35">
      <c r="A683" s="23" t="s">
        <v>1145</v>
      </c>
      <c r="B683" s="31" t="s">
        <v>1127</v>
      </c>
      <c r="C683" s="24" t="s">
        <v>49</v>
      </c>
      <c r="D683" s="27">
        <v>3</v>
      </c>
      <c r="E683" s="93">
        <f>243.27*(1.184419)</f>
        <v>288.13361013000002</v>
      </c>
      <c r="F683" s="93">
        <f>11.95*(1.184419)</f>
        <v>14.153807050000001</v>
      </c>
      <c r="G683" s="93"/>
      <c r="H683" s="104">
        <f t="shared" si="34"/>
        <v>302.28741718000003</v>
      </c>
      <c r="I683" s="105">
        <f t="shared" si="35"/>
        <v>906.8622515400001</v>
      </c>
    </row>
    <row r="684" spans="1:9" ht="15" thickBot="1" x14ac:dyDescent="0.35">
      <c r="A684" s="23" t="s">
        <v>1146</v>
      </c>
      <c r="B684" s="31" t="s">
        <v>1147</v>
      </c>
      <c r="C684" s="24" t="s">
        <v>49</v>
      </c>
      <c r="D684" s="27">
        <v>1</v>
      </c>
      <c r="E684" s="93">
        <f>277.82*(1.184419)</f>
        <v>329.05528658000003</v>
      </c>
      <c r="F684" s="93">
        <f>11.95*(1.184419)</f>
        <v>14.153807050000001</v>
      </c>
      <c r="G684" s="93"/>
      <c r="H684" s="104">
        <f t="shared" si="34"/>
        <v>343.20909363000004</v>
      </c>
      <c r="I684" s="105">
        <f t="shared" si="35"/>
        <v>343.20909363000004</v>
      </c>
    </row>
    <row r="685" spans="1:9" ht="28.2" thickBot="1" x14ac:dyDescent="0.35">
      <c r="A685" s="23" t="s">
        <v>1148</v>
      </c>
      <c r="B685" s="31" t="s">
        <v>1149</v>
      </c>
      <c r="C685" s="24" t="s">
        <v>49</v>
      </c>
      <c r="D685" s="27">
        <v>1</v>
      </c>
      <c r="E685" s="93">
        <f>2507.26*(1.184419)</f>
        <v>2969.6463819400005</v>
      </c>
      <c r="F685" s="93">
        <f>401.25*(1.184419)</f>
        <v>475.24812375000005</v>
      </c>
      <c r="G685" s="93">
        <f>0.93*(1.184419)</f>
        <v>1.1015096700000002</v>
      </c>
      <c r="H685" s="104">
        <f t="shared" si="34"/>
        <v>3445.9960153600005</v>
      </c>
      <c r="I685" s="105">
        <f t="shared" si="35"/>
        <v>3445.9960153600005</v>
      </c>
    </row>
    <row r="686" spans="1:9" ht="15" thickBot="1" x14ac:dyDescent="0.35">
      <c r="A686" s="30"/>
      <c r="B686" s="31"/>
      <c r="C686" s="26"/>
      <c r="D686" s="26"/>
      <c r="E686" s="93"/>
      <c r="F686" s="93"/>
      <c r="G686" s="93"/>
      <c r="H686" s="104"/>
      <c r="I686" s="105"/>
    </row>
    <row r="687" spans="1:9" ht="15" thickBot="1" x14ac:dyDescent="0.35">
      <c r="A687" s="40" t="s">
        <v>1150</v>
      </c>
      <c r="B687" s="42" t="s">
        <v>1151</v>
      </c>
      <c r="C687" s="26"/>
      <c r="D687" s="26"/>
      <c r="E687" s="93"/>
      <c r="F687" s="93"/>
      <c r="G687" s="93"/>
      <c r="H687" s="104"/>
      <c r="I687" s="119">
        <f>SUM(I688:I696)</f>
        <v>6001.995905740001</v>
      </c>
    </row>
    <row r="688" spans="1:9" ht="28.2" thickBot="1" x14ac:dyDescent="0.35">
      <c r="A688" s="23" t="s">
        <v>1152</v>
      </c>
      <c r="B688" s="31" t="s">
        <v>1153</v>
      </c>
      <c r="C688" s="24" t="s">
        <v>49</v>
      </c>
      <c r="D688" s="27">
        <v>1</v>
      </c>
      <c r="E688" s="93">
        <f>201.07*(1.184419)</f>
        <v>238.15112833000001</v>
      </c>
      <c r="F688" s="93">
        <f>125.18*(1.184419)</f>
        <v>148.26557042000002</v>
      </c>
      <c r="G688" s="93">
        <f>0.34*(1.184419)</f>
        <v>0.40270246000000004</v>
      </c>
      <c r="H688" s="104">
        <f t="shared" si="34"/>
        <v>386.81940121000002</v>
      </c>
      <c r="I688" s="105">
        <f t="shared" si="35"/>
        <v>386.81940121000002</v>
      </c>
    </row>
    <row r="689" spans="1:9" ht="28.2" thickBot="1" x14ac:dyDescent="0.35">
      <c r="A689" s="23" t="s">
        <v>1154</v>
      </c>
      <c r="B689" s="31" t="s">
        <v>1106</v>
      </c>
      <c r="C689" s="24" t="s">
        <v>49</v>
      </c>
      <c r="D689" s="27">
        <v>1</v>
      </c>
      <c r="E689" s="93">
        <f>67.72*(1.184419)</f>
        <v>80.208854680000002</v>
      </c>
      <c r="F689" s="93">
        <f>17.25*(1.184419)</f>
        <v>20.431227750000001</v>
      </c>
      <c r="G689" s="93">
        <f>1.5*(1.184419)</f>
        <v>1.7766285000000002</v>
      </c>
      <c r="H689" s="104">
        <f t="shared" si="34"/>
        <v>102.41671093000001</v>
      </c>
      <c r="I689" s="105">
        <f t="shared" si="35"/>
        <v>102.41671093000001</v>
      </c>
    </row>
    <row r="690" spans="1:9" ht="15" thickBot="1" x14ac:dyDescent="0.35">
      <c r="A690" s="23" t="s">
        <v>1155</v>
      </c>
      <c r="B690" s="31" t="s">
        <v>1117</v>
      </c>
      <c r="C690" s="24" t="s">
        <v>49</v>
      </c>
      <c r="D690" s="27">
        <v>3</v>
      </c>
      <c r="E690" s="93">
        <f>185*(1.184419)</f>
        <v>219.11751500000003</v>
      </c>
      <c r="F690" s="93">
        <f>30.21*(1.184419)</f>
        <v>35.781297990000006</v>
      </c>
      <c r="G690" s="93"/>
      <c r="H690" s="104">
        <f t="shared" si="34"/>
        <v>254.89881299000004</v>
      </c>
      <c r="I690" s="105">
        <f t="shared" si="35"/>
        <v>764.69643897000014</v>
      </c>
    </row>
    <row r="691" spans="1:9" ht="28.2" thickBot="1" x14ac:dyDescent="0.35">
      <c r="A691" s="23" t="s">
        <v>1156</v>
      </c>
      <c r="B691" s="31" t="s">
        <v>1119</v>
      </c>
      <c r="C691" s="24" t="s">
        <v>49</v>
      </c>
      <c r="D691" s="27">
        <v>9</v>
      </c>
      <c r="E691" s="93">
        <f>9.8*(1.184419)</f>
        <v>11.607306200000002</v>
      </c>
      <c r="F691" s="93">
        <f>2.03*(1.184419)</f>
        <v>2.4043705700000002</v>
      </c>
      <c r="G691" s="93">
        <f>0.18*(1.184419)</f>
        <v>0.21319542000000002</v>
      </c>
      <c r="H691" s="104">
        <f t="shared" si="34"/>
        <v>14.224872190000001</v>
      </c>
      <c r="I691" s="105">
        <f t="shared" si="35"/>
        <v>128.02384971000001</v>
      </c>
    </row>
    <row r="692" spans="1:9" ht="28.2" thickBot="1" x14ac:dyDescent="0.35">
      <c r="A692" s="23" t="s">
        <v>1157</v>
      </c>
      <c r="B692" s="31" t="s">
        <v>1121</v>
      </c>
      <c r="C692" s="24" t="s">
        <v>49</v>
      </c>
      <c r="D692" s="27">
        <v>10</v>
      </c>
      <c r="E692" s="93">
        <f>50.35*(1.184419)</f>
        <v>59.635496650000007</v>
      </c>
      <c r="F692" s="93">
        <f>4.05*(1.184419)</f>
        <v>4.7968969499999998</v>
      </c>
      <c r="G692" s="93">
        <f>0.36*(1.184419)</f>
        <v>0.42639084000000005</v>
      </c>
      <c r="H692" s="104">
        <f t="shared" si="34"/>
        <v>64.858784440000008</v>
      </c>
      <c r="I692" s="105">
        <f t="shared" si="35"/>
        <v>648.58784440000011</v>
      </c>
    </row>
    <row r="693" spans="1:9" ht="28.2" thickBot="1" x14ac:dyDescent="0.35">
      <c r="A693" s="23" t="s">
        <v>1158</v>
      </c>
      <c r="B693" s="31" t="s">
        <v>1123</v>
      </c>
      <c r="C693" s="24" t="s">
        <v>49</v>
      </c>
      <c r="D693" s="27">
        <v>2</v>
      </c>
      <c r="E693" s="93">
        <f>51.4*(1.184419)</f>
        <v>60.879136600000002</v>
      </c>
      <c r="F693" s="93">
        <f>5.64*(1.184419)</f>
        <v>6.6801231599999999</v>
      </c>
      <c r="G693" s="93">
        <f>0.5*(1.184419)</f>
        <v>0.59220950000000006</v>
      </c>
      <c r="H693" s="104">
        <f t="shared" si="34"/>
        <v>68.151469259999999</v>
      </c>
      <c r="I693" s="105">
        <f t="shared" si="35"/>
        <v>136.30293852</v>
      </c>
    </row>
    <row r="694" spans="1:9" ht="28.2" thickBot="1" x14ac:dyDescent="0.35">
      <c r="A694" s="23" t="s">
        <v>1159</v>
      </c>
      <c r="B694" s="31" t="s">
        <v>1141</v>
      </c>
      <c r="C694" s="24" t="s">
        <v>49</v>
      </c>
      <c r="D694" s="27">
        <v>1</v>
      </c>
      <c r="E694" s="93">
        <f>64.14*(1.184419)</f>
        <v>75.968634660000006</v>
      </c>
      <c r="F694" s="93">
        <f>8.46*(1.184419)</f>
        <v>10.020184740000001</v>
      </c>
      <c r="G694" s="93">
        <f>0.74*(1.184419)</f>
        <v>0.87647006000000005</v>
      </c>
      <c r="H694" s="104">
        <f t="shared" si="34"/>
        <v>86.865289460000014</v>
      </c>
      <c r="I694" s="105">
        <f t="shared" si="35"/>
        <v>86.865289460000014</v>
      </c>
    </row>
    <row r="695" spans="1:9" ht="15" thickBot="1" x14ac:dyDescent="0.35">
      <c r="A695" s="23" t="s">
        <v>1160</v>
      </c>
      <c r="B695" s="31" t="s">
        <v>1127</v>
      </c>
      <c r="C695" s="24" t="s">
        <v>49</v>
      </c>
      <c r="D695" s="27">
        <v>1</v>
      </c>
      <c r="E695" s="93">
        <f>243.27*(1.184419)</f>
        <v>288.13361013000002</v>
      </c>
      <c r="F695" s="93">
        <f>11.95*(1.184419)</f>
        <v>14.153807050000001</v>
      </c>
      <c r="G695" s="93"/>
      <c r="H695" s="104">
        <f t="shared" si="34"/>
        <v>302.28741718000003</v>
      </c>
      <c r="I695" s="105">
        <f t="shared" si="35"/>
        <v>302.28741718000003</v>
      </c>
    </row>
    <row r="696" spans="1:9" ht="28.2" thickBot="1" x14ac:dyDescent="0.35">
      <c r="A696" s="23" t="s">
        <v>1161</v>
      </c>
      <c r="B696" s="31" t="s">
        <v>1149</v>
      </c>
      <c r="C696" s="24" t="s">
        <v>49</v>
      </c>
      <c r="D696" s="27">
        <v>1</v>
      </c>
      <c r="E696" s="93">
        <f>2507.26*(1.184419)</f>
        <v>2969.6463819400005</v>
      </c>
      <c r="F696" s="93">
        <f>401.25*(1.184419)</f>
        <v>475.24812375000005</v>
      </c>
      <c r="G696" s="93">
        <f>0.93*(1.184419)</f>
        <v>1.1015096700000002</v>
      </c>
      <c r="H696" s="104">
        <f t="shared" si="34"/>
        <v>3445.9960153600005</v>
      </c>
      <c r="I696" s="105">
        <f t="shared" si="35"/>
        <v>3445.9960153600005</v>
      </c>
    </row>
    <row r="697" spans="1:9" ht="15" thickBot="1" x14ac:dyDescent="0.35">
      <c r="A697" s="30"/>
      <c r="B697" s="31"/>
      <c r="C697" s="26"/>
      <c r="D697" s="26"/>
      <c r="E697" s="93"/>
      <c r="F697" s="93"/>
      <c r="G697" s="93"/>
      <c r="H697" s="104"/>
      <c r="I697" s="105"/>
    </row>
    <row r="698" spans="1:9" ht="15" thickBot="1" x14ac:dyDescent="0.35">
      <c r="A698" s="40" t="s">
        <v>1162</v>
      </c>
      <c r="B698" s="42" t="s">
        <v>1163</v>
      </c>
      <c r="C698" s="26"/>
      <c r="D698" s="26"/>
      <c r="E698" s="93"/>
      <c r="F698" s="93"/>
      <c r="G698" s="93"/>
      <c r="H698" s="104"/>
      <c r="I698" s="119">
        <f>SUM(I699:I708)</f>
        <v>7418.7505367800004</v>
      </c>
    </row>
    <row r="699" spans="1:9" ht="28.2" thickBot="1" x14ac:dyDescent="0.35">
      <c r="A699" s="23" t="s">
        <v>1164</v>
      </c>
      <c r="B699" s="31" t="s">
        <v>1114</v>
      </c>
      <c r="C699" s="24" t="s">
        <v>49</v>
      </c>
      <c r="D699" s="27">
        <v>1</v>
      </c>
      <c r="E699" s="93">
        <f>254.36*(1.184419)</f>
        <v>301.26881684000006</v>
      </c>
      <c r="F699" s="93">
        <f>85.06*(1.184419)</f>
        <v>100.74668014000001</v>
      </c>
      <c r="G699" s="93">
        <f>7.4*(1.184419)</f>
        <v>8.7647006000000012</v>
      </c>
      <c r="H699" s="104">
        <f t="shared" si="34"/>
        <v>410.78019758000011</v>
      </c>
      <c r="I699" s="105">
        <f t="shared" si="35"/>
        <v>410.78019758000011</v>
      </c>
    </row>
    <row r="700" spans="1:9" ht="28.2" thickBot="1" x14ac:dyDescent="0.35">
      <c r="A700" s="23" t="s">
        <v>1165</v>
      </c>
      <c r="B700" s="31" t="s">
        <v>1106</v>
      </c>
      <c r="C700" s="24" t="s">
        <v>49</v>
      </c>
      <c r="D700" s="27">
        <v>1</v>
      </c>
      <c r="E700" s="93">
        <f>67.72*(1.184419)</f>
        <v>80.208854680000002</v>
      </c>
      <c r="F700" s="93">
        <f>17.25*(1.184419)</f>
        <v>20.431227750000001</v>
      </c>
      <c r="G700" s="93">
        <f>1.5*(1.184419)</f>
        <v>1.7766285000000002</v>
      </c>
      <c r="H700" s="104">
        <f t="shared" si="34"/>
        <v>102.41671093000001</v>
      </c>
      <c r="I700" s="105">
        <f t="shared" si="35"/>
        <v>102.41671093000001</v>
      </c>
    </row>
    <row r="701" spans="1:9" ht="15" thickBot="1" x14ac:dyDescent="0.35">
      <c r="A701" s="23" t="s">
        <v>1166</v>
      </c>
      <c r="B701" s="31" t="s">
        <v>1117</v>
      </c>
      <c r="C701" s="24" t="s">
        <v>49</v>
      </c>
      <c r="D701" s="27">
        <v>3</v>
      </c>
      <c r="E701" s="93">
        <f>185*(1.184419)</f>
        <v>219.11751500000003</v>
      </c>
      <c r="F701" s="93">
        <f>30.21*(1.184419)</f>
        <v>35.781297990000006</v>
      </c>
      <c r="G701" s="93"/>
      <c r="H701" s="104">
        <f t="shared" si="34"/>
        <v>254.89881299000004</v>
      </c>
      <c r="I701" s="105">
        <f t="shared" si="35"/>
        <v>764.69643897000014</v>
      </c>
    </row>
    <row r="702" spans="1:9" ht="28.2" thickBot="1" x14ac:dyDescent="0.35">
      <c r="A702" s="23" t="s">
        <v>1167</v>
      </c>
      <c r="B702" s="31" t="s">
        <v>1119</v>
      </c>
      <c r="C702" s="24" t="s">
        <v>49</v>
      </c>
      <c r="D702" s="27">
        <v>19</v>
      </c>
      <c r="E702" s="93">
        <f>9.8*(1.184419)</f>
        <v>11.607306200000002</v>
      </c>
      <c r="F702" s="93">
        <f>2.03*(1.184419)</f>
        <v>2.4043705700000002</v>
      </c>
      <c r="G702" s="93">
        <f>0.18*(1.184419)</f>
        <v>0.21319542000000002</v>
      </c>
      <c r="H702" s="104">
        <f t="shared" si="34"/>
        <v>14.224872190000001</v>
      </c>
      <c r="I702" s="105">
        <f t="shared" si="35"/>
        <v>270.27257161</v>
      </c>
    </row>
    <row r="703" spans="1:9" ht="28.2" thickBot="1" x14ac:dyDescent="0.35">
      <c r="A703" s="23" t="s">
        <v>1168</v>
      </c>
      <c r="B703" s="31" t="s">
        <v>1121</v>
      </c>
      <c r="C703" s="24" t="s">
        <v>49</v>
      </c>
      <c r="D703" s="27">
        <v>15</v>
      </c>
      <c r="E703" s="93">
        <f>50.35*(1.184419)</f>
        <v>59.635496650000007</v>
      </c>
      <c r="F703" s="93">
        <f>4.05*(1.184419)</f>
        <v>4.7968969499999998</v>
      </c>
      <c r="G703" s="93">
        <f>0.36*(1.184419)</f>
        <v>0.42639084000000005</v>
      </c>
      <c r="H703" s="104">
        <f t="shared" si="34"/>
        <v>64.858784440000008</v>
      </c>
      <c r="I703" s="105">
        <f t="shared" si="35"/>
        <v>972.88176660000011</v>
      </c>
    </row>
    <row r="704" spans="1:9" ht="28.2" thickBot="1" x14ac:dyDescent="0.35">
      <c r="A704" s="23" t="s">
        <v>1169</v>
      </c>
      <c r="B704" s="31" t="s">
        <v>1170</v>
      </c>
      <c r="C704" s="24" t="s">
        <v>49</v>
      </c>
      <c r="D704" s="27">
        <v>1</v>
      </c>
      <c r="E704" s="93">
        <f>10.34*(1.184419)</f>
        <v>12.246892460000002</v>
      </c>
      <c r="F704" s="93">
        <f>2.82*(1.184419)</f>
        <v>3.34006158</v>
      </c>
      <c r="G704" s="93">
        <f>0.24*(1.184419)</f>
        <v>0.28426056</v>
      </c>
      <c r="H704" s="104">
        <f t="shared" si="34"/>
        <v>15.871214600000002</v>
      </c>
      <c r="I704" s="105">
        <f t="shared" si="35"/>
        <v>15.871214600000002</v>
      </c>
    </row>
    <row r="705" spans="1:9" ht="28.2" thickBot="1" x14ac:dyDescent="0.35">
      <c r="A705" s="23" t="s">
        <v>1171</v>
      </c>
      <c r="B705" s="31" t="s">
        <v>1123</v>
      </c>
      <c r="C705" s="24" t="s">
        <v>49</v>
      </c>
      <c r="D705" s="27">
        <v>3</v>
      </c>
      <c r="E705" s="93">
        <f>51.4*(1.184419)</f>
        <v>60.879136600000002</v>
      </c>
      <c r="F705" s="93">
        <f>5.64*(1.184419)</f>
        <v>6.6801231599999999</v>
      </c>
      <c r="G705" s="93">
        <f>0.5*(1.184419)</f>
        <v>0.59220950000000006</v>
      </c>
      <c r="H705" s="104">
        <f t="shared" si="34"/>
        <v>68.151469259999999</v>
      </c>
      <c r="I705" s="105">
        <f t="shared" si="35"/>
        <v>204.45440778</v>
      </c>
    </row>
    <row r="706" spans="1:9" ht="28.2" thickBot="1" x14ac:dyDescent="0.35">
      <c r="A706" s="23" t="s">
        <v>1172</v>
      </c>
      <c r="B706" s="31" t="s">
        <v>1141</v>
      </c>
      <c r="C706" s="24" t="s">
        <v>49</v>
      </c>
      <c r="D706" s="27">
        <v>6</v>
      </c>
      <c r="E706" s="93">
        <f>64.14*(1.184419)</f>
        <v>75.968634660000006</v>
      </c>
      <c r="F706" s="93">
        <f>8.46*(1.184419)</f>
        <v>10.020184740000001</v>
      </c>
      <c r="G706" s="93">
        <f>0.74*(1.184419)</f>
        <v>0.87647006000000005</v>
      </c>
      <c r="H706" s="104">
        <f t="shared" si="34"/>
        <v>86.865289460000014</v>
      </c>
      <c r="I706" s="105">
        <f t="shared" si="35"/>
        <v>521.19173676000014</v>
      </c>
    </row>
    <row r="707" spans="1:9" ht="15" thickBot="1" x14ac:dyDescent="0.35">
      <c r="A707" s="23" t="s">
        <v>1173</v>
      </c>
      <c r="B707" s="31" t="s">
        <v>1127</v>
      </c>
      <c r="C707" s="24" t="s">
        <v>49</v>
      </c>
      <c r="D707" s="27">
        <v>3</v>
      </c>
      <c r="E707" s="93">
        <f>243.27*(1.184419)</f>
        <v>288.13361013000002</v>
      </c>
      <c r="F707" s="93">
        <f>11.95*(1.184419)</f>
        <v>14.153807050000001</v>
      </c>
      <c r="G707" s="93"/>
      <c r="H707" s="104">
        <f t="shared" si="34"/>
        <v>302.28741718000003</v>
      </c>
      <c r="I707" s="105">
        <f t="shared" si="35"/>
        <v>906.8622515400001</v>
      </c>
    </row>
    <row r="708" spans="1:9" ht="15" thickBot="1" x14ac:dyDescent="0.35">
      <c r="A708" s="23" t="s">
        <v>1174</v>
      </c>
      <c r="B708" s="31" t="s">
        <v>1175</v>
      </c>
      <c r="C708" s="24" t="s">
        <v>49</v>
      </c>
      <c r="D708" s="27">
        <v>1</v>
      </c>
      <c r="E708" s="93">
        <f>2241.51*(1.184419)</f>
        <v>2654.8870326900005</v>
      </c>
      <c r="F708" s="93">
        <f>500.72*(1.184419)</f>
        <v>593.06228168000007</v>
      </c>
      <c r="G708" s="93">
        <f>1.16*(1.184419)</f>
        <v>1.37392604</v>
      </c>
      <c r="H708" s="104">
        <f t="shared" si="34"/>
        <v>3249.3232404100004</v>
      </c>
      <c r="I708" s="105">
        <f t="shared" si="35"/>
        <v>3249.3232404100004</v>
      </c>
    </row>
    <row r="709" spans="1:9" ht="15" thickBot="1" x14ac:dyDescent="0.35">
      <c r="A709" s="30"/>
      <c r="B709" s="31"/>
      <c r="C709" s="26"/>
      <c r="D709" s="26"/>
      <c r="E709" s="93"/>
      <c r="F709" s="93"/>
      <c r="G709" s="93"/>
      <c r="H709" s="104"/>
      <c r="I709" s="105"/>
    </row>
    <row r="710" spans="1:9" ht="15" thickBot="1" x14ac:dyDescent="0.35">
      <c r="A710" s="40" t="s">
        <v>1176</v>
      </c>
      <c r="B710" s="42" t="s">
        <v>1177</v>
      </c>
      <c r="C710" s="26"/>
      <c r="D710" s="26"/>
      <c r="E710" s="93"/>
      <c r="F710" s="93"/>
      <c r="G710" s="93"/>
      <c r="H710" s="104"/>
      <c r="I710" s="119">
        <f>SUM(I711:I719)</f>
        <v>4361.5637465500004</v>
      </c>
    </row>
    <row r="711" spans="1:9" ht="28.2" thickBot="1" x14ac:dyDescent="0.35">
      <c r="A711" s="23" t="s">
        <v>1178</v>
      </c>
      <c r="B711" s="31" t="s">
        <v>1114</v>
      </c>
      <c r="C711" s="24" t="s">
        <v>49</v>
      </c>
      <c r="D711" s="27">
        <v>1</v>
      </c>
      <c r="E711" s="93">
        <f>254.36*(1.184419)</f>
        <v>301.26881684000006</v>
      </c>
      <c r="F711" s="93">
        <f>85.06*(1.184419)</f>
        <v>100.74668014000001</v>
      </c>
      <c r="G711" s="93">
        <f>7.4*(1.184419)</f>
        <v>8.7647006000000012</v>
      </c>
      <c r="H711" s="104">
        <f t="shared" si="34"/>
        <v>410.78019758000011</v>
      </c>
      <c r="I711" s="105">
        <f t="shared" si="35"/>
        <v>410.78019758000011</v>
      </c>
    </row>
    <row r="712" spans="1:9" ht="28.2" thickBot="1" x14ac:dyDescent="0.35">
      <c r="A712" s="23" t="s">
        <v>1179</v>
      </c>
      <c r="B712" s="31" t="s">
        <v>1106</v>
      </c>
      <c r="C712" s="24" t="s">
        <v>49</v>
      </c>
      <c r="D712" s="27">
        <v>1</v>
      </c>
      <c r="E712" s="93">
        <f>67.72*(1.184419)</f>
        <v>80.208854680000002</v>
      </c>
      <c r="F712" s="93">
        <f>17.25*(1.184419)</f>
        <v>20.431227750000001</v>
      </c>
      <c r="G712" s="93">
        <f>1.5*(1.184419)</f>
        <v>1.7766285000000002</v>
      </c>
      <c r="H712" s="104">
        <f t="shared" ref="H712:H773" si="36">E712+F712+G712</f>
        <v>102.41671093000001</v>
      </c>
      <c r="I712" s="105">
        <f t="shared" ref="I712:I773" si="37">H712*D712</f>
        <v>102.41671093000001</v>
      </c>
    </row>
    <row r="713" spans="1:9" ht="15" thickBot="1" x14ac:dyDescent="0.35">
      <c r="A713" s="23" t="s">
        <v>1180</v>
      </c>
      <c r="B713" s="31" t="s">
        <v>1117</v>
      </c>
      <c r="C713" s="24" t="s">
        <v>49</v>
      </c>
      <c r="D713" s="27">
        <v>3</v>
      </c>
      <c r="E713" s="93">
        <f>185*(1.184419)</f>
        <v>219.11751500000003</v>
      </c>
      <c r="F713" s="93">
        <f>30.21*(1.184419)</f>
        <v>35.781297990000006</v>
      </c>
      <c r="G713" s="93"/>
      <c r="H713" s="104">
        <f t="shared" si="36"/>
        <v>254.89881299000004</v>
      </c>
      <c r="I713" s="105">
        <f t="shared" si="37"/>
        <v>764.69643897000014</v>
      </c>
    </row>
    <row r="714" spans="1:9" ht="28.2" thickBot="1" x14ac:dyDescent="0.35">
      <c r="A714" s="23" t="s">
        <v>1181</v>
      </c>
      <c r="B714" s="31" t="s">
        <v>1119</v>
      </c>
      <c r="C714" s="24" t="s">
        <v>49</v>
      </c>
      <c r="D714" s="27">
        <v>20</v>
      </c>
      <c r="E714" s="93">
        <f>9.8*(1.184419)</f>
        <v>11.607306200000002</v>
      </c>
      <c r="F714" s="93">
        <f>2.03*(1.184419)</f>
        <v>2.4043705700000002</v>
      </c>
      <c r="G714" s="93">
        <f>0.18*(1.184419)</f>
        <v>0.21319542000000002</v>
      </c>
      <c r="H714" s="104">
        <f t="shared" si="36"/>
        <v>14.224872190000001</v>
      </c>
      <c r="I714" s="105">
        <f t="shared" si="37"/>
        <v>284.49744380000004</v>
      </c>
    </row>
    <row r="715" spans="1:9" ht="28.2" thickBot="1" x14ac:dyDescent="0.35">
      <c r="A715" s="23" t="s">
        <v>1182</v>
      </c>
      <c r="B715" s="31" t="s">
        <v>1121</v>
      </c>
      <c r="C715" s="24" t="s">
        <v>49</v>
      </c>
      <c r="D715" s="27">
        <v>5</v>
      </c>
      <c r="E715" s="93">
        <f>50.35*(1.184419)</f>
        <v>59.635496650000007</v>
      </c>
      <c r="F715" s="93">
        <f>4.05*(1.184419)</f>
        <v>4.7968969499999998</v>
      </c>
      <c r="G715" s="93">
        <f>0.36*(1.184419)</f>
        <v>0.42639084000000005</v>
      </c>
      <c r="H715" s="104">
        <f t="shared" si="36"/>
        <v>64.858784440000008</v>
      </c>
      <c r="I715" s="105">
        <f t="shared" si="37"/>
        <v>324.29392220000005</v>
      </c>
    </row>
    <row r="716" spans="1:9" ht="28.2" thickBot="1" x14ac:dyDescent="0.35">
      <c r="A716" s="23" t="s">
        <v>1183</v>
      </c>
      <c r="B716" s="31" t="s">
        <v>1125</v>
      </c>
      <c r="C716" s="24" t="s">
        <v>49</v>
      </c>
      <c r="D716" s="27">
        <v>2</v>
      </c>
      <c r="E716" s="93">
        <f>160.69*(1.184419)</f>
        <v>190.32428911000002</v>
      </c>
      <c r="F716" s="93">
        <f>24.23*(1.184419)</f>
        <v>28.698472370000005</v>
      </c>
      <c r="G716" s="93">
        <f>0.07*(1.184419)</f>
        <v>8.2909330000000017E-2</v>
      </c>
      <c r="H716" s="104">
        <f t="shared" si="36"/>
        <v>219.10567081000005</v>
      </c>
      <c r="I716" s="105">
        <f t="shared" si="37"/>
        <v>438.2113416200001</v>
      </c>
    </row>
    <row r="717" spans="1:9" ht="15" thickBot="1" x14ac:dyDescent="0.35">
      <c r="A717" s="23" t="s">
        <v>1184</v>
      </c>
      <c r="B717" s="31" t="s">
        <v>1127</v>
      </c>
      <c r="C717" s="24" t="s">
        <v>49</v>
      </c>
      <c r="D717" s="27">
        <v>1</v>
      </c>
      <c r="E717" s="93">
        <f>243.27*(1.184419)</f>
        <v>288.13361013000002</v>
      </c>
      <c r="F717" s="93">
        <f>11.95*(1.184419)</f>
        <v>14.153807050000001</v>
      </c>
      <c r="G717" s="93"/>
      <c r="H717" s="104">
        <f t="shared" si="36"/>
        <v>302.28741718000003</v>
      </c>
      <c r="I717" s="105">
        <f t="shared" si="37"/>
        <v>302.28741718000003</v>
      </c>
    </row>
    <row r="718" spans="1:9" ht="15" thickBot="1" x14ac:dyDescent="0.35">
      <c r="A718" s="23" t="s">
        <v>1185</v>
      </c>
      <c r="B718" s="31" t="s">
        <v>1147</v>
      </c>
      <c r="C718" s="24" t="s">
        <v>49</v>
      </c>
      <c r="D718" s="27">
        <v>1</v>
      </c>
      <c r="E718" s="93">
        <f>277.82*(1.184419)</f>
        <v>329.05528658000003</v>
      </c>
      <c r="F718" s="93">
        <f>11.95*(1.184419)</f>
        <v>14.153807050000001</v>
      </c>
      <c r="G718" s="93"/>
      <c r="H718" s="104">
        <f t="shared" si="36"/>
        <v>343.20909363000004</v>
      </c>
      <c r="I718" s="105">
        <f t="shared" si="37"/>
        <v>343.20909363000004</v>
      </c>
    </row>
    <row r="719" spans="1:9" ht="42" thickBot="1" x14ac:dyDescent="0.35">
      <c r="A719" s="23" t="s">
        <v>1186</v>
      </c>
      <c r="B719" s="31" t="s">
        <v>1187</v>
      </c>
      <c r="C719" s="24" t="s">
        <v>49</v>
      </c>
      <c r="D719" s="27">
        <v>1</v>
      </c>
      <c r="E719" s="93">
        <f>1141.03*(1.184419)</f>
        <v>1351.4576115700002</v>
      </c>
      <c r="F719" s="93">
        <f>30.81*(1.184419)</f>
        <v>36.491949390000002</v>
      </c>
      <c r="G719" s="93">
        <f>2.72*(1.184419)</f>
        <v>3.2216196800000003</v>
      </c>
      <c r="H719" s="104">
        <f t="shared" si="36"/>
        <v>1391.1711806400001</v>
      </c>
      <c r="I719" s="105">
        <f t="shared" si="37"/>
        <v>1391.1711806400001</v>
      </c>
    </row>
    <row r="720" spans="1:9" ht="15" thickBot="1" x14ac:dyDescent="0.35">
      <c r="A720" s="30"/>
      <c r="B720" s="31"/>
      <c r="C720" s="26"/>
      <c r="D720" s="26"/>
      <c r="E720" s="93"/>
      <c r="F720" s="93"/>
      <c r="G720" s="93"/>
      <c r="H720" s="104"/>
      <c r="I720" s="105"/>
    </row>
    <row r="721" spans="1:9" ht="15" thickBot="1" x14ac:dyDescent="0.35">
      <c r="A721" s="40" t="s">
        <v>1188</v>
      </c>
      <c r="B721" s="42" t="s">
        <v>1189</v>
      </c>
      <c r="C721" s="26"/>
      <c r="D721" s="26"/>
      <c r="E721" s="93"/>
      <c r="F721" s="93"/>
      <c r="G721" s="93"/>
      <c r="H721" s="104"/>
      <c r="I721" s="119">
        <f>SUM(I722:I732)</f>
        <v>4279.8033029800008</v>
      </c>
    </row>
    <row r="722" spans="1:9" ht="28.2" thickBot="1" x14ac:dyDescent="0.35">
      <c r="A722" s="23" t="s">
        <v>1190</v>
      </c>
      <c r="B722" s="31" t="s">
        <v>1153</v>
      </c>
      <c r="C722" s="24" t="s">
        <v>49</v>
      </c>
      <c r="D722" s="27">
        <v>1</v>
      </c>
      <c r="E722" s="93">
        <f>201.07*(1.184419)</f>
        <v>238.15112833000001</v>
      </c>
      <c r="F722" s="93">
        <f>125.18*(1.184419)</f>
        <v>148.26557042000002</v>
      </c>
      <c r="G722" s="93">
        <f>0.34*(1.184419)</f>
        <v>0.40270246000000004</v>
      </c>
      <c r="H722" s="104">
        <f t="shared" si="36"/>
        <v>386.81940121000002</v>
      </c>
      <c r="I722" s="105">
        <f t="shared" si="37"/>
        <v>386.81940121000002</v>
      </c>
    </row>
    <row r="723" spans="1:9" ht="28.2" thickBot="1" x14ac:dyDescent="0.35">
      <c r="A723" s="23" t="s">
        <v>1191</v>
      </c>
      <c r="B723" s="31" t="s">
        <v>1106</v>
      </c>
      <c r="C723" s="24" t="s">
        <v>49</v>
      </c>
      <c r="D723" s="27">
        <v>1</v>
      </c>
      <c r="E723" s="93">
        <f>67.72*(1.184419)</f>
        <v>80.208854680000002</v>
      </c>
      <c r="F723" s="93">
        <f>17.25*(1.184419)</f>
        <v>20.431227750000001</v>
      </c>
      <c r="G723" s="93">
        <f>1.5*(1.184419)</f>
        <v>1.7766285000000002</v>
      </c>
      <c r="H723" s="104">
        <f t="shared" si="36"/>
        <v>102.41671093000001</v>
      </c>
      <c r="I723" s="105">
        <f t="shared" si="37"/>
        <v>102.41671093000001</v>
      </c>
    </row>
    <row r="724" spans="1:9" ht="15" thickBot="1" x14ac:dyDescent="0.35">
      <c r="A724" s="23" t="s">
        <v>1192</v>
      </c>
      <c r="B724" s="31" t="s">
        <v>1117</v>
      </c>
      <c r="C724" s="24" t="s">
        <v>49</v>
      </c>
      <c r="D724" s="27">
        <v>3</v>
      </c>
      <c r="E724" s="93">
        <f>185*(1.184419)</f>
        <v>219.11751500000003</v>
      </c>
      <c r="F724" s="93">
        <f>30.21*(1.184419)</f>
        <v>35.781297990000006</v>
      </c>
      <c r="G724" s="93"/>
      <c r="H724" s="104">
        <f t="shared" si="36"/>
        <v>254.89881299000004</v>
      </c>
      <c r="I724" s="105">
        <f t="shared" si="37"/>
        <v>764.69643897000014</v>
      </c>
    </row>
    <row r="725" spans="1:9" ht="28.2" thickBot="1" x14ac:dyDescent="0.35">
      <c r="A725" s="23" t="s">
        <v>1193</v>
      </c>
      <c r="B725" s="31" t="s">
        <v>1119</v>
      </c>
      <c r="C725" s="24" t="s">
        <v>49</v>
      </c>
      <c r="D725" s="27">
        <v>11</v>
      </c>
      <c r="E725" s="93">
        <f>9.8*(1.184419)</f>
        <v>11.607306200000002</v>
      </c>
      <c r="F725" s="93">
        <f>2.03*(1.184419)</f>
        <v>2.4043705700000002</v>
      </c>
      <c r="G725" s="93">
        <f>0.18*(1.184419)</f>
        <v>0.21319542000000002</v>
      </c>
      <c r="H725" s="104">
        <f t="shared" si="36"/>
        <v>14.224872190000001</v>
      </c>
      <c r="I725" s="105">
        <f t="shared" si="37"/>
        <v>156.47359409000001</v>
      </c>
    </row>
    <row r="726" spans="1:9" ht="28.2" thickBot="1" x14ac:dyDescent="0.35">
      <c r="A726" s="23" t="s">
        <v>1194</v>
      </c>
      <c r="B726" s="31" t="s">
        <v>1121</v>
      </c>
      <c r="C726" s="24" t="s">
        <v>49</v>
      </c>
      <c r="D726" s="27">
        <v>2</v>
      </c>
      <c r="E726" s="93">
        <f>50.35*(1.184419)</f>
        <v>59.635496650000007</v>
      </c>
      <c r="F726" s="93">
        <f>4.05*(1.184419)</f>
        <v>4.7968969499999998</v>
      </c>
      <c r="G726" s="93">
        <f>0.36*(1.184419)</f>
        <v>0.42639084000000005</v>
      </c>
      <c r="H726" s="104">
        <f t="shared" si="36"/>
        <v>64.858784440000008</v>
      </c>
      <c r="I726" s="105">
        <f t="shared" si="37"/>
        <v>129.71756888000002</v>
      </c>
    </row>
    <row r="727" spans="1:9" ht="28.2" thickBot="1" x14ac:dyDescent="0.35">
      <c r="A727" s="23" t="s">
        <v>1195</v>
      </c>
      <c r="B727" s="31" t="s">
        <v>1123</v>
      </c>
      <c r="C727" s="24" t="s">
        <v>49</v>
      </c>
      <c r="D727" s="27">
        <v>4</v>
      </c>
      <c r="E727" s="93">
        <f>51.4*(1.184419)</f>
        <v>60.879136600000002</v>
      </c>
      <c r="F727" s="93">
        <f>5.64*(1.184419)</f>
        <v>6.6801231599999999</v>
      </c>
      <c r="G727" s="93">
        <f>0.5*(1.184419)</f>
        <v>0.59220950000000006</v>
      </c>
      <c r="H727" s="104">
        <f t="shared" si="36"/>
        <v>68.151469259999999</v>
      </c>
      <c r="I727" s="105">
        <f t="shared" si="37"/>
        <v>272.60587704</v>
      </c>
    </row>
    <row r="728" spans="1:9" ht="28.2" thickBot="1" x14ac:dyDescent="0.35">
      <c r="A728" s="23" t="s">
        <v>1196</v>
      </c>
      <c r="B728" s="31" t="s">
        <v>1197</v>
      </c>
      <c r="C728" s="24" t="s">
        <v>49</v>
      </c>
      <c r="D728" s="27">
        <v>1</v>
      </c>
      <c r="E728" s="93">
        <f>52.51*(1.184419)</f>
        <v>62.193841690000006</v>
      </c>
      <c r="F728" s="93">
        <f>7.75*(1.184419)</f>
        <v>9.1792472500000013</v>
      </c>
      <c r="G728" s="93">
        <f>0.68*(1.184419)</f>
        <v>0.80540492000000008</v>
      </c>
      <c r="H728" s="104">
        <f t="shared" si="36"/>
        <v>72.178493860000003</v>
      </c>
      <c r="I728" s="105">
        <f t="shared" si="37"/>
        <v>72.178493860000003</v>
      </c>
    </row>
    <row r="729" spans="1:9" ht="28.2" thickBot="1" x14ac:dyDescent="0.35">
      <c r="A729" s="23" t="s">
        <v>1198</v>
      </c>
      <c r="B729" s="31" t="s">
        <v>1199</v>
      </c>
      <c r="C729" s="24" t="s">
        <v>49</v>
      </c>
      <c r="D729" s="27">
        <v>3</v>
      </c>
      <c r="E729" s="93">
        <f>53.07*(1.184419)</f>
        <v>62.857116330000004</v>
      </c>
      <c r="F729" s="93">
        <f>11.5*(1.184419)</f>
        <v>13.620818500000002</v>
      </c>
      <c r="G729" s="93">
        <f>1*(1.184419)</f>
        <v>1.1844190000000001</v>
      </c>
      <c r="H729" s="104">
        <f t="shared" si="36"/>
        <v>77.662353830000015</v>
      </c>
      <c r="I729" s="105">
        <f t="shared" si="37"/>
        <v>232.98706149000003</v>
      </c>
    </row>
    <row r="730" spans="1:9" ht="28.2" thickBot="1" x14ac:dyDescent="0.35">
      <c r="A730" s="23" t="s">
        <v>1200</v>
      </c>
      <c r="B730" s="31" t="s">
        <v>1139</v>
      </c>
      <c r="C730" s="24" t="s">
        <v>49</v>
      </c>
      <c r="D730" s="27">
        <v>4</v>
      </c>
      <c r="E730" s="93">
        <f>62.57*(1.184419)</f>
        <v>74.109096830000013</v>
      </c>
      <c r="F730" s="93">
        <f>6.08*(1.184419)</f>
        <v>7.2012675200000009</v>
      </c>
      <c r="G730" s="93">
        <f>0.52*(1.184419)</f>
        <v>0.61589788000000012</v>
      </c>
      <c r="H730" s="104">
        <f t="shared" si="36"/>
        <v>81.92626223000002</v>
      </c>
      <c r="I730" s="105">
        <f t="shared" si="37"/>
        <v>327.70504892000008</v>
      </c>
    </row>
    <row r="731" spans="1:9" ht="15" thickBot="1" x14ac:dyDescent="0.35">
      <c r="A731" s="23" t="s">
        <v>1201</v>
      </c>
      <c r="B731" s="31" t="s">
        <v>1127</v>
      </c>
      <c r="C731" s="24" t="s">
        <v>49</v>
      </c>
      <c r="D731" s="27">
        <v>1</v>
      </c>
      <c r="E731" s="93">
        <f>243.27*(1.184419)</f>
        <v>288.13361013000002</v>
      </c>
      <c r="F731" s="93">
        <f>11.95*(1.184419)</f>
        <v>14.153807050000001</v>
      </c>
      <c r="G731" s="93"/>
      <c r="H731" s="104">
        <f t="shared" si="36"/>
        <v>302.28741718000003</v>
      </c>
      <c r="I731" s="105">
        <f t="shared" si="37"/>
        <v>302.28741718000003</v>
      </c>
    </row>
    <row r="732" spans="1:9" ht="28.2" thickBot="1" x14ac:dyDescent="0.35">
      <c r="A732" s="23" t="s">
        <v>1202</v>
      </c>
      <c r="B732" s="31" t="s">
        <v>1110</v>
      </c>
      <c r="C732" s="24" t="s">
        <v>49</v>
      </c>
      <c r="D732" s="27">
        <v>1</v>
      </c>
      <c r="E732" s="93">
        <f>791.51*(1.184419)</f>
        <v>937.47948269000005</v>
      </c>
      <c r="F732" s="93">
        <f>500.72*(1.184419)</f>
        <v>593.06228168000007</v>
      </c>
      <c r="G732" s="93">
        <f>1.16*(1.184419)</f>
        <v>1.37392604</v>
      </c>
      <c r="H732" s="104">
        <f t="shared" si="36"/>
        <v>1531.9156904100003</v>
      </c>
      <c r="I732" s="105">
        <f t="shared" si="37"/>
        <v>1531.9156904100003</v>
      </c>
    </row>
    <row r="733" spans="1:9" ht="15" thickBot="1" x14ac:dyDescent="0.35">
      <c r="A733" s="30"/>
      <c r="B733" s="31"/>
      <c r="C733" s="26"/>
      <c r="D733" s="26"/>
      <c r="E733" s="93"/>
      <c r="F733" s="93"/>
      <c r="G733" s="93"/>
      <c r="H733" s="104"/>
      <c r="I733" s="105"/>
    </row>
    <row r="734" spans="1:9" ht="15" thickBot="1" x14ac:dyDescent="0.35">
      <c r="A734" s="40" t="s">
        <v>1203</v>
      </c>
      <c r="B734" s="42" t="s">
        <v>1204</v>
      </c>
      <c r="C734" s="26"/>
      <c r="D734" s="26"/>
      <c r="E734" s="93"/>
      <c r="F734" s="93"/>
      <c r="G734" s="93"/>
      <c r="H734" s="104"/>
      <c r="I734" s="105">
        <f>SUM(I735:I742)</f>
        <v>2721.02498965</v>
      </c>
    </row>
    <row r="735" spans="1:9" ht="28.2" thickBot="1" x14ac:dyDescent="0.35">
      <c r="A735" s="23" t="s">
        <v>1205</v>
      </c>
      <c r="B735" s="31" t="s">
        <v>1098</v>
      </c>
      <c r="C735" s="24" t="s">
        <v>49</v>
      </c>
      <c r="D735" s="27">
        <v>1</v>
      </c>
      <c r="E735" s="93">
        <f>118.42*(1.184419)</f>
        <v>140.25889798000003</v>
      </c>
      <c r="F735" s="93">
        <f>33.3*(1.184419)</f>
        <v>39.441152700000004</v>
      </c>
      <c r="G735" s="93">
        <f>2.9*(1.184419)</f>
        <v>3.4348151000000002</v>
      </c>
      <c r="H735" s="104">
        <f t="shared" si="36"/>
        <v>183.13486578000004</v>
      </c>
      <c r="I735" s="105">
        <f t="shared" si="37"/>
        <v>183.13486578000004</v>
      </c>
    </row>
    <row r="736" spans="1:9" ht="28.2" thickBot="1" x14ac:dyDescent="0.35">
      <c r="A736" s="23" t="s">
        <v>1206</v>
      </c>
      <c r="B736" s="31" t="s">
        <v>1106</v>
      </c>
      <c r="C736" s="24" t="s">
        <v>49</v>
      </c>
      <c r="D736" s="27">
        <v>1</v>
      </c>
      <c r="E736" s="93">
        <f>67.72*(1.184419)</f>
        <v>80.208854680000002</v>
      </c>
      <c r="F736" s="93">
        <f>17.25*(1.184419)</f>
        <v>20.431227750000001</v>
      </c>
      <c r="G736" s="93">
        <f>1.5*(1.184419)</f>
        <v>1.7766285000000002</v>
      </c>
      <c r="H736" s="104">
        <f t="shared" si="36"/>
        <v>102.41671093000001</v>
      </c>
      <c r="I736" s="105">
        <f t="shared" si="37"/>
        <v>102.41671093000001</v>
      </c>
    </row>
    <row r="737" spans="1:9" ht="15" thickBot="1" x14ac:dyDescent="0.35">
      <c r="A737" s="23" t="s">
        <v>1207</v>
      </c>
      <c r="B737" s="31" t="s">
        <v>1117</v>
      </c>
      <c r="C737" s="24" t="s">
        <v>49</v>
      </c>
      <c r="D737" s="27">
        <v>3</v>
      </c>
      <c r="E737" s="93">
        <f>185*(1.184419)</f>
        <v>219.11751500000003</v>
      </c>
      <c r="F737" s="93">
        <f>30.21*(1.184419)</f>
        <v>35.781297990000006</v>
      </c>
      <c r="G737" s="93"/>
      <c r="H737" s="104">
        <f t="shared" si="36"/>
        <v>254.89881299000004</v>
      </c>
      <c r="I737" s="105">
        <f t="shared" si="37"/>
        <v>764.69643897000014</v>
      </c>
    </row>
    <row r="738" spans="1:9" ht="28.2" thickBot="1" x14ac:dyDescent="0.35">
      <c r="A738" s="23" t="s">
        <v>1208</v>
      </c>
      <c r="B738" s="31" t="s">
        <v>1121</v>
      </c>
      <c r="C738" s="24" t="s">
        <v>49</v>
      </c>
      <c r="D738" s="27">
        <v>3</v>
      </c>
      <c r="E738" s="93">
        <f>50.35*(1.184419)</f>
        <v>59.635496650000007</v>
      </c>
      <c r="F738" s="93">
        <f>4.05*(1.184419)</f>
        <v>4.7968969499999998</v>
      </c>
      <c r="G738" s="93">
        <f>0.36*(1.184419)</f>
        <v>0.42639084000000005</v>
      </c>
      <c r="H738" s="104">
        <f t="shared" si="36"/>
        <v>64.858784440000008</v>
      </c>
      <c r="I738" s="105">
        <f t="shared" si="37"/>
        <v>194.57635332000001</v>
      </c>
    </row>
    <row r="739" spans="1:9" ht="28.2" thickBot="1" x14ac:dyDescent="0.35">
      <c r="A739" s="23" t="s">
        <v>1209</v>
      </c>
      <c r="B739" s="31" t="s">
        <v>1123</v>
      </c>
      <c r="C739" s="24" t="s">
        <v>49</v>
      </c>
      <c r="D739" s="27">
        <v>3</v>
      </c>
      <c r="E739" s="93">
        <f>51.4*(1.184419)</f>
        <v>60.879136600000002</v>
      </c>
      <c r="F739" s="93">
        <f>5.64*(1.184419)</f>
        <v>6.6801231599999999</v>
      </c>
      <c r="G739" s="93">
        <f>0.5*(1.184419)</f>
        <v>0.59220950000000006</v>
      </c>
      <c r="H739" s="104">
        <f t="shared" si="36"/>
        <v>68.151469259999999</v>
      </c>
      <c r="I739" s="105">
        <f t="shared" si="37"/>
        <v>204.45440778</v>
      </c>
    </row>
    <row r="740" spans="1:9" ht="28.2" thickBot="1" x14ac:dyDescent="0.35">
      <c r="A740" s="23" t="s">
        <v>1210</v>
      </c>
      <c r="B740" s="31" t="s">
        <v>1197</v>
      </c>
      <c r="C740" s="24" t="s">
        <v>49</v>
      </c>
      <c r="D740" s="27">
        <v>1</v>
      </c>
      <c r="E740" s="93">
        <f>52.51*(1.184419)</f>
        <v>62.193841690000006</v>
      </c>
      <c r="F740" s="93">
        <f>7.75*(1.184419)</f>
        <v>9.1792472500000013</v>
      </c>
      <c r="G740" s="93">
        <f>0.68*(1.184419)</f>
        <v>0.80540492000000008</v>
      </c>
      <c r="H740" s="104">
        <f t="shared" si="36"/>
        <v>72.178493860000003</v>
      </c>
      <c r="I740" s="105">
        <f t="shared" si="37"/>
        <v>72.178493860000003</v>
      </c>
    </row>
    <row r="741" spans="1:9" ht="28.2" thickBot="1" x14ac:dyDescent="0.35">
      <c r="A741" s="23" t="s">
        <v>1211</v>
      </c>
      <c r="B741" s="31" t="s">
        <v>1199</v>
      </c>
      <c r="C741" s="24" t="s">
        <v>49</v>
      </c>
      <c r="D741" s="27">
        <v>3</v>
      </c>
      <c r="E741" s="93">
        <f>53.07*(1.184419)</f>
        <v>62.857116330000004</v>
      </c>
      <c r="F741" s="93">
        <f>11.5*(1.184419)</f>
        <v>13.620818500000002</v>
      </c>
      <c r="G741" s="93">
        <f>1*(1.184419)</f>
        <v>1.1844190000000001</v>
      </c>
      <c r="H741" s="104">
        <f t="shared" si="36"/>
        <v>77.662353830000015</v>
      </c>
      <c r="I741" s="105">
        <f t="shared" si="37"/>
        <v>232.98706149000003</v>
      </c>
    </row>
    <row r="742" spans="1:9" ht="42" thickBot="1" x14ac:dyDescent="0.35">
      <c r="A742" s="23" t="s">
        <v>1212</v>
      </c>
      <c r="B742" s="31" t="s">
        <v>1213</v>
      </c>
      <c r="C742" s="24" t="s">
        <v>49</v>
      </c>
      <c r="D742" s="27">
        <v>1</v>
      </c>
      <c r="E742" s="93">
        <f>782.7*(1.184419)</f>
        <v>927.04475130000014</v>
      </c>
      <c r="F742" s="93">
        <f>30.67*(1.184419)</f>
        <v>36.326130730000003</v>
      </c>
      <c r="G742" s="93">
        <f>2.71*(1.184419)</f>
        <v>3.2097754900000002</v>
      </c>
      <c r="H742" s="104">
        <f t="shared" si="36"/>
        <v>966.58065752000016</v>
      </c>
      <c r="I742" s="105">
        <f t="shared" si="37"/>
        <v>966.58065752000016</v>
      </c>
    </row>
    <row r="743" spans="1:9" ht="15" thickBot="1" x14ac:dyDescent="0.35">
      <c r="A743" s="30"/>
      <c r="B743" s="31"/>
      <c r="C743" s="26"/>
      <c r="D743" s="26"/>
      <c r="E743" s="93"/>
      <c r="F743" s="93"/>
      <c r="G743" s="93"/>
      <c r="H743" s="104"/>
      <c r="I743" s="105"/>
    </row>
    <row r="744" spans="1:9" ht="15" thickBot="1" x14ac:dyDescent="0.35">
      <c r="A744" s="40" t="s">
        <v>1214</v>
      </c>
      <c r="B744" s="42" t="s">
        <v>1215</v>
      </c>
      <c r="C744" s="26"/>
      <c r="D744" s="26"/>
      <c r="E744" s="93"/>
      <c r="F744" s="93"/>
      <c r="G744" s="93"/>
      <c r="H744" s="104"/>
      <c r="I744" s="119">
        <f>SUM(I745:I756)</f>
        <v>5137.0383984200007</v>
      </c>
    </row>
    <row r="745" spans="1:9" ht="15" thickBot="1" x14ac:dyDescent="0.35">
      <c r="A745" s="23" t="s">
        <v>1216</v>
      </c>
      <c r="B745" s="31" t="s">
        <v>1127</v>
      </c>
      <c r="C745" s="24" t="s">
        <v>49</v>
      </c>
      <c r="D745" s="27">
        <v>1</v>
      </c>
      <c r="E745" s="93">
        <f>243.27*(1.184419)</f>
        <v>288.13361013000002</v>
      </c>
      <c r="F745" s="93">
        <f>11.95*(1.184419)</f>
        <v>14.153807050000001</v>
      </c>
      <c r="G745" s="93"/>
      <c r="H745" s="104">
        <f t="shared" si="36"/>
        <v>302.28741718000003</v>
      </c>
      <c r="I745" s="105">
        <f t="shared" si="37"/>
        <v>302.28741718000003</v>
      </c>
    </row>
    <row r="746" spans="1:9" ht="28.2" thickBot="1" x14ac:dyDescent="0.35">
      <c r="A746" s="23" t="s">
        <v>1217</v>
      </c>
      <c r="B746" s="31" t="s">
        <v>1141</v>
      </c>
      <c r="C746" s="24" t="s">
        <v>49</v>
      </c>
      <c r="D746" s="27">
        <v>2</v>
      </c>
      <c r="E746" s="93">
        <f>64.14*(1.184419)</f>
        <v>75.968634660000006</v>
      </c>
      <c r="F746" s="93">
        <f>8.46*(1.184419)</f>
        <v>10.020184740000001</v>
      </c>
      <c r="G746" s="93">
        <f>0.74*(1.184419)</f>
        <v>0.87647006000000005</v>
      </c>
      <c r="H746" s="104">
        <f t="shared" si="36"/>
        <v>86.865289460000014</v>
      </c>
      <c r="I746" s="105">
        <f t="shared" si="37"/>
        <v>173.73057892000003</v>
      </c>
    </row>
    <row r="747" spans="1:9" ht="15" thickBot="1" x14ac:dyDescent="0.35">
      <c r="A747" s="23" t="s">
        <v>1218</v>
      </c>
      <c r="B747" s="31" t="s">
        <v>1219</v>
      </c>
      <c r="C747" s="24" t="s">
        <v>49</v>
      </c>
      <c r="D747" s="27">
        <v>2</v>
      </c>
      <c r="E747" s="93">
        <f>95.49*(1.184419)</f>
        <v>113.10017031000001</v>
      </c>
      <c r="F747" s="93">
        <f>95.63*(1.184419)</f>
        <v>113.26598897000001</v>
      </c>
      <c r="G747" s="93"/>
      <c r="H747" s="104">
        <f t="shared" si="36"/>
        <v>226.36615928000003</v>
      </c>
      <c r="I747" s="105">
        <f t="shared" si="37"/>
        <v>452.73231856000007</v>
      </c>
    </row>
    <row r="748" spans="1:9" ht="28.2" thickBot="1" x14ac:dyDescent="0.35">
      <c r="A748" s="23" t="s">
        <v>1220</v>
      </c>
      <c r="B748" s="31" t="s">
        <v>1221</v>
      </c>
      <c r="C748" s="24" t="s">
        <v>49</v>
      </c>
      <c r="D748" s="27">
        <v>1</v>
      </c>
      <c r="E748" s="93">
        <f>9.65*(1.184419)</f>
        <v>11.429643350000001</v>
      </c>
      <c r="F748" s="93">
        <f>1.5*(1.184419)</f>
        <v>1.7766285000000002</v>
      </c>
      <c r="G748" s="93">
        <f>0.14*(1.184419)</f>
        <v>0.16581866000000003</v>
      </c>
      <c r="H748" s="104">
        <f t="shared" si="36"/>
        <v>13.37209051</v>
      </c>
      <c r="I748" s="105">
        <f t="shared" si="37"/>
        <v>13.37209051</v>
      </c>
    </row>
    <row r="749" spans="1:9" ht="15" thickBot="1" x14ac:dyDescent="0.35">
      <c r="A749" s="23" t="s">
        <v>1222</v>
      </c>
      <c r="B749" s="31" t="s">
        <v>1223</v>
      </c>
      <c r="C749" s="24" t="s">
        <v>49</v>
      </c>
      <c r="D749" s="27">
        <v>2</v>
      </c>
      <c r="E749" s="93">
        <f>344.47*(1.184419)</f>
        <v>407.99681293000009</v>
      </c>
      <c r="F749" s="93">
        <f>88.07*(1.184419)</f>
        <v>104.31178133</v>
      </c>
      <c r="G749" s="93">
        <f>7.82*(1.184419)</f>
        <v>9.262156580000001</v>
      </c>
      <c r="H749" s="104">
        <f t="shared" si="36"/>
        <v>521.57075084000007</v>
      </c>
      <c r="I749" s="105">
        <f t="shared" si="37"/>
        <v>1043.1415016800001</v>
      </c>
    </row>
    <row r="750" spans="1:9" ht="15" thickBot="1" x14ac:dyDescent="0.35">
      <c r="A750" s="23" t="s">
        <v>1224</v>
      </c>
      <c r="B750" s="31" t="s">
        <v>1225</v>
      </c>
      <c r="C750" s="24" t="s">
        <v>49</v>
      </c>
      <c r="D750" s="27">
        <v>1</v>
      </c>
      <c r="E750" s="93">
        <f>450*(1.184419)</f>
        <v>532.98855000000003</v>
      </c>
      <c r="F750" s="93">
        <f>138.65*(1.184419)</f>
        <v>164.21969435000003</v>
      </c>
      <c r="G750" s="93"/>
      <c r="H750" s="104">
        <f t="shared" si="36"/>
        <v>697.20824435000009</v>
      </c>
      <c r="I750" s="105">
        <f t="shared" si="37"/>
        <v>697.20824435000009</v>
      </c>
    </row>
    <row r="751" spans="1:9" ht="15" thickBot="1" x14ac:dyDescent="0.35">
      <c r="A751" s="23" t="s">
        <v>1226</v>
      </c>
      <c r="B751" s="31" t="s">
        <v>1227</v>
      </c>
      <c r="C751" s="24" t="s">
        <v>49</v>
      </c>
      <c r="D751" s="27">
        <v>1</v>
      </c>
      <c r="E751" s="93">
        <f>450*(1.184419)</f>
        <v>532.98855000000003</v>
      </c>
      <c r="F751" s="93">
        <f>138.65*(1.184419)</f>
        <v>164.21969435000003</v>
      </c>
      <c r="G751" s="93"/>
      <c r="H751" s="104">
        <f t="shared" si="36"/>
        <v>697.20824435000009</v>
      </c>
      <c r="I751" s="105">
        <f t="shared" si="37"/>
        <v>697.20824435000009</v>
      </c>
    </row>
    <row r="752" spans="1:9" ht="15" thickBot="1" x14ac:dyDescent="0.35">
      <c r="A752" s="23" t="s">
        <v>1228</v>
      </c>
      <c r="B752" s="31" t="s">
        <v>1229</v>
      </c>
      <c r="C752" s="24" t="s">
        <v>49</v>
      </c>
      <c r="D752" s="27">
        <v>1</v>
      </c>
      <c r="E752" s="93">
        <f>171.93*(1.184419)</f>
        <v>203.63715867000002</v>
      </c>
      <c r="F752" s="93"/>
      <c r="G752" s="93"/>
      <c r="H752" s="104">
        <f t="shared" si="36"/>
        <v>203.63715867000002</v>
      </c>
      <c r="I752" s="105">
        <f t="shared" si="37"/>
        <v>203.63715867000002</v>
      </c>
    </row>
    <row r="753" spans="1:9" ht="15" thickBot="1" x14ac:dyDescent="0.35">
      <c r="A753" s="23" t="s">
        <v>1230</v>
      </c>
      <c r="B753" s="31" t="s">
        <v>1231</v>
      </c>
      <c r="C753" s="24" t="s">
        <v>49</v>
      </c>
      <c r="D753" s="27">
        <v>2</v>
      </c>
      <c r="E753" s="93">
        <f>26.44*(1.184419)</f>
        <v>31.316038360000004</v>
      </c>
      <c r="F753" s="93">
        <f>5.32*(1.184419)</f>
        <v>6.3011090800000007</v>
      </c>
      <c r="G753" s="93">
        <f>0.46*(1.184419)</f>
        <v>0.54483274000000004</v>
      </c>
      <c r="H753" s="104">
        <f t="shared" si="36"/>
        <v>38.16198018</v>
      </c>
      <c r="I753" s="105">
        <f t="shared" si="37"/>
        <v>76.323960360000001</v>
      </c>
    </row>
    <row r="754" spans="1:9" ht="15" thickBot="1" x14ac:dyDescent="0.35">
      <c r="A754" s="23" t="s">
        <v>1232</v>
      </c>
      <c r="B754" s="31" t="s">
        <v>1233</v>
      </c>
      <c r="C754" s="24" t="s">
        <v>49</v>
      </c>
      <c r="D754" s="27">
        <v>3</v>
      </c>
      <c r="E754" s="93">
        <f>35.6*(1.184419)</f>
        <v>42.165316400000009</v>
      </c>
      <c r="F754" s="93">
        <f>1.89*(1.184419)</f>
        <v>2.23855191</v>
      </c>
      <c r="G754" s="93">
        <f>0.19*(1.184419)</f>
        <v>0.22503961000000003</v>
      </c>
      <c r="H754" s="104">
        <f t="shared" si="36"/>
        <v>44.62890792000001</v>
      </c>
      <c r="I754" s="105">
        <f t="shared" si="37"/>
        <v>133.88672376000002</v>
      </c>
    </row>
    <row r="755" spans="1:9" ht="15" thickBot="1" x14ac:dyDescent="0.35">
      <c r="A755" s="23" t="s">
        <v>1234</v>
      </c>
      <c r="B755" s="31" t="s">
        <v>993</v>
      </c>
      <c r="C755" s="24" t="s">
        <v>49</v>
      </c>
      <c r="D755" s="27">
        <v>1</v>
      </c>
      <c r="E755" s="93">
        <f>410.94*(1.184419)</f>
        <v>486.72514386000006</v>
      </c>
      <c r="F755" s="93">
        <f>14.34*(1.184419)</f>
        <v>16.984568460000002</v>
      </c>
      <c r="G755" s="93"/>
      <c r="H755" s="104">
        <f t="shared" si="36"/>
        <v>503.70971232000005</v>
      </c>
      <c r="I755" s="105">
        <f t="shared" si="37"/>
        <v>503.70971232000005</v>
      </c>
    </row>
    <row r="756" spans="1:9" ht="42" thickBot="1" x14ac:dyDescent="0.35">
      <c r="A756" s="23" t="s">
        <v>1235</v>
      </c>
      <c r="B756" s="31" t="s">
        <v>1236</v>
      </c>
      <c r="C756" s="24" t="s">
        <v>49</v>
      </c>
      <c r="D756" s="27">
        <v>1</v>
      </c>
      <c r="E756" s="93">
        <f>681.25*(1.184419)</f>
        <v>806.88544375000004</v>
      </c>
      <c r="F756" s="93">
        <f>25.53*(1.184419)</f>
        <v>30.238217070000005</v>
      </c>
      <c r="G756" s="93">
        <f>2.26*(1.184419)</f>
        <v>2.6767869399999999</v>
      </c>
      <c r="H756" s="104">
        <f t="shared" si="36"/>
        <v>839.80044776000011</v>
      </c>
      <c r="I756" s="105">
        <f t="shared" si="37"/>
        <v>839.80044776000011</v>
      </c>
    </row>
    <row r="757" spans="1:9" ht="15" thickBot="1" x14ac:dyDescent="0.35">
      <c r="A757" s="30"/>
      <c r="B757" s="31"/>
      <c r="C757" s="26"/>
      <c r="D757" s="26"/>
      <c r="E757" s="93"/>
      <c r="F757" s="93"/>
      <c r="G757" s="93"/>
      <c r="H757" s="104"/>
      <c r="I757" s="105"/>
    </row>
    <row r="758" spans="1:9" ht="15" thickBot="1" x14ac:dyDescent="0.35">
      <c r="A758" s="40" t="s">
        <v>1237</v>
      </c>
      <c r="B758" s="42" t="s">
        <v>1238</v>
      </c>
      <c r="C758" s="26"/>
      <c r="D758" s="26"/>
      <c r="E758" s="93"/>
      <c r="F758" s="93"/>
      <c r="G758" s="93"/>
      <c r="H758" s="104"/>
      <c r="I758" s="119">
        <f>SUM(I759:I773)</f>
        <v>8710.2173260000018</v>
      </c>
    </row>
    <row r="759" spans="1:9" ht="28.2" thickBot="1" x14ac:dyDescent="0.35">
      <c r="A759" s="23" t="s">
        <v>1239</v>
      </c>
      <c r="B759" s="31" t="s">
        <v>1240</v>
      </c>
      <c r="C759" s="24" t="s">
        <v>49</v>
      </c>
      <c r="D759" s="27">
        <v>1</v>
      </c>
      <c r="E759" s="93">
        <f>70.52*(1.184419)</f>
        <v>83.525227880000003</v>
      </c>
      <c r="F759" s="93">
        <f>117.11*(1.184419)</f>
        <v>138.70730909000002</v>
      </c>
      <c r="G759" s="93">
        <f>0.32*(1.184419)</f>
        <v>0.37901408000000003</v>
      </c>
      <c r="H759" s="104">
        <f t="shared" si="36"/>
        <v>222.61155105</v>
      </c>
      <c r="I759" s="105">
        <f t="shared" si="37"/>
        <v>222.61155105</v>
      </c>
    </row>
    <row r="760" spans="1:9" ht="28.2" thickBot="1" x14ac:dyDescent="0.35">
      <c r="A760" s="23" t="s">
        <v>1241</v>
      </c>
      <c r="B760" s="31" t="s">
        <v>1106</v>
      </c>
      <c r="C760" s="24" t="s">
        <v>49</v>
      </c>
      <c r="D760" s="27">
        <v>1</v>
      </c>
      <c r="E760" s="93">
        <f>67.72*(1.184419)</f>
        <v>80.208854680000002</v>
      </c>
      <c r="F760" s="93">
        <f>17.25*(1.184419)</f>
        <v>20.431227750000001</v>
      </c>
      <c r="G760" s="93">
        <f>1.5*(1.184419)</f>
        <v>1.7766285000000002</v>
      </c>
      <c r="H760" s="104">
        <f t="shared" si="36"/>
        <v>102.41671093000001</v>
      </c>
      <c r="I760" s="105">
        <f t="shared" si="37"/>
        <v>102.41671093000001</v>
      </c>
    </row>
    <row r="761" spans="1:9" ht="15" thickBot="1" x14ac:dyDescent="0.35">
      <c r="A761" s="23" t="s">
        <v>1242</v>
      </c>
      <c r="B761" s="31" t="s">
        <v>1117</v>
      </c>
      <c r="C761" s="24" t="s">
        <v>49</v>
      </c>
      <c r="D761" s="27">
        <v>3</v>
      </c>
      <c r="E761" s="93">
        <f>185*(1.184419)</f>
        <v>219.11751500000003</v>
      </c>
      <c r="F761" s="93">
        <f>30.21*(1.184419)</f>
        <v>35.781297990000006</v>
      </c>
      <c r="G761" s="93"/>
      <c r="H761" s="104">
        <f t="shared" si="36"/>
        <v>254.89881299000004</v>
      </c>
      <c r="I761" s="105">
        <f t="shared" si="37"/>
        <v>764.69643897000014</v>
      </c>
    </row>
    <row r="762" spans="1:9" ht="15" thickBot="1" x14ac:dyDescent="0.35">
      <c r="A762" s="23" t="s">
        <v>1243</v>
      </c>
      <c r="B762" s="31" t="s">
        <v>1244</v>
      </c>
      <c r="C762" s="24" t="s">
        <v>49</v>
      </c>
      <c r="D762" s="27">
        <v>6</v>
      </c>
      <c r="E762" s="93">
        <f>10.95*(1.184419)</f>
        <v>12.969388050000001</v>
      </c>
      <c r="F762" s="93">
        <f>9.56*(1.184419)</f>
        <v>11.323045640000002</v>
      </c>
      <c r="G762" s="93"/>
      <c r="H762" s="104">
        <f t="shared" si="36"/>
        <v>24.292433690000003</v>
      </c>
      <c r="I762" s="105">
        <f t="shared" si="37"/>
        <v>145.75460214000003</v>
      </c>
    </row>
    <row r="763" spans="1:9" ht="28.2" thickBot="1" x14ac:dyDescent="0.35">
      <c r="A763" s="23" t="s">
        <v>1245</v>
      </c>
      <c r="B763" s="31" t="s">
        <v>1221</v>
      </c>
      <c r="C763" s="24" t="s">
        <v>49</v>
      </c>
      <c r="D763" s="27">
        <v>1</v>
      </c>
      <c r="E763" s="93">
        <f>9.65*(1.184419)</f>
        <v>11.429643350000001</v>
      </c>
      <c r="F763" s="93">
        <f>1.5*(1.184419)</f>
        <v>1.7766285000000002</v>
      </c>
      <c r="G763" s="93">
        <f>0.14*(1.184419)</f>
        <v>0.16581866000000003</v>
      </c>
      <c r="H763" s="104">
        <f t="shared" si="36"/>
        <v>13.37209051</v>
      </c>
      <c r="I763" s="105">
        <f t="shared" si="37"/>
        <v>13.37209051</v>
      </c>
    </row>
    <row r="764" spans="1:9" ht="15" thickBot="1" x14ac:dyDescent="0.35">
      <c r="A764" s="23" t="s">
        <v>1246</v>
      </c>
      <c r="B764" s="31" t="s">
        <v>1247</v>
      </c>
      <c r="C764" s="24" t="s">
        <v>49</v>
      </c>
      <c r="D764" s="27">
        <v>6</v>
      </c>
      <c r="E764" s="93">
        <f>158.64*(1.184419)</f>
        <v>187.89623015999999</v>
      </c>
      <c r="F764" s="93">
        <f>95.63*(1.184419)</f>
        <v>113.26598897000001</v>
      </c>
      <c r="G764" s="93"/>
      <c r="H764" s="104">
        <f t="shared" si="36"/>
        <v>301.16221912999998</v>
      </c>
      <c r="I764" s="105">
        <f t="shared" si="37"/>
        <v>1806.9733147799998</v>
      </c>
    </row>
    <row r="765" spans="1:9" ht="15" thickBot="1" x14ac:dyDescent="0.35">
      <c r="A765" s="23" t="s">
        <v>1248</v>
      </c>
      <c r="B765" s="31" t="s">
        <v>1249</v>
      </c>
      <c r="C765" s="24" t="s">
        <v>49</v>
      </c>
      <c r="D765" s="27">
        <v>2</v>
      </c>
      <c r="E765" s="93">
        <f>344.47*(1.184419)</f>
        <v>407.99681293000009</v>
      </c>
      <c r="F765" s="93">
        <f>88.07*(1.184419)</f>
        <v>104.31178133</v>
      </c>
      <c r="G765" s="93">
        <f>7.82*(1.184419)</f>
        <v>9.262156580000001</v>
      </c>
      <c r="H765" s="104">
        <f t="shared" si="36"/>
        <v>521.57075084000007</v>
      </c>
      <c r="I765" s="105">
        <f t="shared" si="37"/>
        <v>1043.1415016800001</v>
      </c>
    </row>
    <row r="766" spans="1:9" ht="15" thickBot="1" x14ac:dyDescent="0.35">
      <c r="A766" s="23" t="s">
        <v>1250</v>
      </c>
      <c r="B766" s="31" t="s">
        <v>1227</v>
      </c>
      <c r="C766" s="24" t="s">
        <v>49</v>
      </c>
      <c r="D766" s="27">
        <v>2</v>
      </c>
      <c r="E766" s="93">
        <f>450*(1.184419)</f>
        <v>532.98855000000003</v>
      </c>
      <c r="F766" s="93">
        <f>138.65*(1.184419)</f>
        <v>164.21969435000003</v>
      </c>
      <c r="G766" s="93"/>
      <c r="H766" s="104">
        <f t="shared" si="36"/>
        <v>697.20824435000009</v>
      </c>
      <c r="I766" s="105">
        <f t="shared" si="37"/>
        <v>1394.4164887000002</v>
      </c>
    </row>
    <row r="767" spans="1:9" ht="15" thickBot="1" x14ac:dyDescent="0.35">
      <c r="A767" s="23" t="s">
        <v>1251</v>
      </c>
      <c r="B767" s="31" t="s">
        <v>1252</v>
      </c>
      <c r="C767" s="24" t="s">
        <v>49</v>
      </c>
      <c r="D767" s="27">
        <v>1</v>
      </c>
      <c r="E767" s="93">
        <f>51.65*(1.184419)</f>
        <v>61.175241350000007</v>
      </c>
      <c r="F767" s="93">
        <f>21.81*(1.184419)</f>
        <v>25.832178389999999</v>
      </c>
      <c r="G767" s="93">
        <f>0.04*(1.184419)</f>
        <v>4.7376760000000004E-2</v>
      </c>
      <c r="H767" s="104">
        <f t="shared" si="36"/>
        <v>87.054796500000009</v>
      </c>
      <c r="I767" s="105">
        <f t="shared" si="37"/>
        <v>87.054796500000009</v>
      </c>
    </row>
    <row r="768" spans="1:9" ht="15" thickBot="1" x14ac:dyDescent="0.35">
      <c r="A768" s="23" t="s">
        <v>1253</v>
      </c>
      <c r="B768" s="31" t="s">
        <v>1254</v>
      </c>
      <c r="C768" s="24" t="s">
        <v>49</v>
      </c>
      <c r="D768" s="27">
        <v>1</v>
      </c>
      <c r="E768" s="93">
        <f>62.81*(1.184419)</f>
        <v>74.393357390000006</v>
      </c>
      <c r="F768" s="93">
        <f>38.25*(1.184419)</f>
        <v>45.304026750000006</v>
      </c>
      <c r="G768" s="93"/>
      <c r="H768" s="104">
        <f t="shared" si="36"/>
        <v>119.69738414000001</v>
      </c>
      <c r="I768" s="105">
        <f t="shared" si="37"/>
        <v>119.69738414000001</v>
      </c>
    </row>
    <row r="769" spans="1:9" ht="15" thickBot="1" x14ac:dyDescent="0.35">
      <c r="A769" s="23" t="s">
        <v>1255</v>
      </c>
      <c r="B769" s="31" t="s">
        <v>1233</v>
      </c>
      <c r="C769" s="24" t="s">
        <v>49</v>
      </c>
      <c r="D769" s="27">
        <v>2</v>
      </c>
      <c r="E769" s="93">
        <f>35.6*(1.184419)</f>
        <v>42.165316400000009</v>
      </c>
      <c r="F769" s="93">
        <f>1.89*(1.184419)</f>
        <v>2.23855191</v>
      </c>
      <c r="G769" s="93">
        <f>0.19*(1.184419)</f>
        <v>0.22503961000000003</v>
      </c>
      <c r="H769" s="104">
        <f t="shared" si="36"/>
        <v>44.62890792000001</v>
      </c>
      <c r="I769" s="105">
        <f t="shared" si="37"/>
        <v>89.257815840000021</v>
      </c>
    </row>
    <row r="770" spans="1:9" ht="15" thickBot="1" x14ac:dyDescent="0.35">
      <c r="A770" s="23" t="s">
        <v>1256</v>
      </c>
      <c r="B770" s="31" t="s">
        <v>1257</v>
      </c>
      <c r="C770" s="24" t="s">
        <v>49</v>
      </c>
      <c r="D770" s="27">
        <v>2</v>
      </c>
      <c r="E770" s="93">
        <f>96.01*(1.184419)</f>
        <v>113.71606819000002</v>
      </c>
      <c r="F770" s="93">
        <f>21.81*(1.184419)</f>
        <v>25.832178389999999</v>
      </c>
      <c r="G770" s="93">
        <f>0.04*(1.184419)</f>
        <v>4.7376760000000004E-2</v>
      </c>
      <c r="H770" s="104">
        <f t="shared" si="36"/>
        <v>139.59562334</v>
      </c>
      <c r="I770" s="105">
        <f t="shared" si="37"/>
        <v>279.19124668000001</v>
      </c>
    </row>
    <row r="771" spans="1:9" ht="15" thickBot="1" x14ac:dyDescent="0.35">
      <c r="A771" s="23" t="s">
        <v>1258</v>
      </c>
      <c r="B771" s="31" t="s">
        <v>993</v>
      </c>
      <c r="C771" s="24" t="s">
        <v>49</v>
      </c>
      <c r="D771" s="27">
        <v>2</v>
      </c>
      <c r="E771" s="93">
        <f>410.94*(1.184419)</f>
        <v>486.72514386000006</v>
      </c>
      <c r="F771" s="93">
        <f>14.34*(1.184419)</f>
        <v>16.984568460000002</v>
      </c>
      <c r="G771" s="93"/>
      <c r="H771" s="104">
        <f t="shared" si="36"/>
        <v>503.70971232000005</v>
      </c>
      <c r="I771" s="105">
        <f t="shared" si="37"/>
        <v>1007.4194246400001</v>
      </c>
    </row>
    <row r="772" spans="1:9" ht="15" thickBot="1" x14ac:dyDescent="0.35">
      <c r="A772" s="23" t="s">
        <v>1259</v>
      </c>
      <c r="B772" s="31" t="s">
        <v>1260</v>
      </c>
      <c r="C772" s="24" t="s">
        <v>49</v>
      </c>
      <c r="D772" s="27">
        <v>2</v>
      </c>
      <c r="E772" s="93">
        <f>239.47*(1.184419)</f>
        <v>283.63281793000004</v>
      </c>
      <c r="F772" s="93">
        <f>88.07*(1.184419)</f>
        <v>104.31178133</v>
      </c>
      <c r="G772" s="93">
        <f>7.82*(1.184419)</f>
        <v>9.262156580000001</v>
      </c>
      <c r="H772" s="104">
        <f t="shared" si="36"/>
        <v>397.20675584000003</v>
      </c>
      <c r="I772" s="105">
        <f t="shared" si="37"/>
        <v>794.41351168000006</v>
      </c>
    </row>
    <row r="773" spans="1:9" ht="42" thickBot="1" x14ac:dyDescent="0.35">
      <c r="A773" s="23" t="s">
        <v>1261</v>
      </c>
      <c r="B773" s="31" t="s">
        <v>1236</v>
      </c>
      <c r="C773" s="24" t="s">
        <v>49</v>
      </c>
      <c r="D773" s="27">
        <v>1</v>
      </c>
      <c r="E773" s="93">
        <f>681.25*(1.184419)</f>
        <v>806.88544375000004</v>
      </c>
      <c r="F773" s="93">
        <f>25.53*(1.184419)</f>
        <v>30.238217070000005</v>
      </c>
      <c r="G773" s="93">
        <f>2.26*(1.184419)</f>
        <v>2.6767869399999999</v>
      </c>
      <c r="H773" s="104">
        <f t="shared" si="36"/>
        <v>839.80044776000011</v>
      </c>
      <c r="I773" s="105">
        <f t="shared" si="37"/>
        <v>839.80044776000011</v>
      </c>
    </row>
    <row r="774" spans="1:9" ht="15" thickBot="1" x14ac:dyDescent="0.35">
      <c r="A774" s="30"/>
      <c r="B774" s="26"/>
      <c r="C774" s="26"/>
      <c r="D774" s="26"/>
      <c r="E774" s="93"/>
      <c r="F774" s="93"/>
      <c r="G774" s="93"/>
      <c r="H774" s="104"/>
      <c r="I774" s="105"/>
    </row>
    <row r="775" spans="1:9" ht="15" thickBot="1" x14ac:dyDescent="0.35">
      <c r="A775" s="40" t="s">
        <v>1262</v>
      </c>
      <c r="B775" s="41" t="s">
        <v>1263</v>
      </c>
      <c r="C775" s="26"/>
      <c r="D775" s="26"/>
      <c r="E775" s="93"/>
      <c r="F775" s="93"/>
      <c r="G775" s="93"/>
      <c r="H775" s="104"/>
      <c r="I775" s="119">
        <f>SUM(I776:I792)</f>
        <v>5278.7304433899999</v>
      </c>
    </row>
    <row r="776" spans="1:9" ht="28.2" thickBot="1" x14ac:dyDescent="0.35">
      <c r="A776" s="23" t="s">
        <v>1264</v>
      </c>
      <c r="B776" s="26" t="s">
        <v>1104</v>
      </c>
      <c r="C776" s="24" t="s">
        <v>49</v>
      </c>
      <c r="D776" s="27">
        <v>1</v>
      </c>
      <c r="E776" s="93">
        <f>65.78*(1.184419)</f>
        <v>77.911081820000007</v>
      </c>
      <c r="F776" s="93">
        <f>11.63*(1.184419)</f>
        <v>13.774792970000002</v>
      </c>
      <c r="G776" s="93">
        <f>1.02*(1.184419)</f>
        <v>1.2081073800000002</v>
      </c>
      <c r="H776" s="104">
        <f t="shared" ref="H776:H835" si="38">E776+F776+G776</f>
        <v>92.893982170000015</v>
      </c>
      <c r="I776" s="105">
        <f t="shared" ref="I776:I835" si="39">H776*D776</f>
        <v>92.893982170000015</v>
      </c>
    </row>
    <row r="777" spans="1:9" ht="28.2" thickBot="1" x14ac:dyDescent="0.35">
      <c r="A777" s="23" t="s">
        <v>1265</v>
      </c>
      <c r="B777" s="26" t="s">
        <v>1141</v>
      </c>
      <c r="C777" s="24" t="s">
        <v>49</v>
      </c>
      <c r="D777" s="27">
        <v>1</v>
      </c>
      <c r="E777" s="93">
        <f>64.14*(1.184419)</f>
        <v>75.968634660000006</v>
      </c>
      <c r="F777" s="93">
        <f>8.46*(1.184419)</f>
        <v>10.020184740000001</v>
      </c>
      <c r="G777" s="93">
        <f>0.74*(1.184419)</f>
        <v>0.87647006000000005</v>
      </c>
      <c r="H777" s="104">
        <f t="shared" si="38"/>
        <v>86.865289460000014</v>
      </c>
      <c r="I777" s="105">
        <f t="shared" si="39"/>
        <v>86.865289460000014</v>
      </c>
    </row>
    <row r="778" spans="1:9" ht="28.2" thickBot="1" x14ac:dyDescent="0.35">
      <c r="A778" s="23" t="s">
        <v>1266</v>
      </c>
      <c r="B778" s="26" t="s">
        <v>1106</v>
      </c>
      <c r="C778" s="24" t="s">
        <v>49</v>
      </c>
      <c r="D778" s="27">
        <v>1</v>
      </c>
      <c r="E778" s="93">
        <f>67.72*(1.184419)</f>
        <v>80.208854680000002</v>
      </c>
      <c r="F778" s="93">
        <f>17.25*(1.184419)</f>
        <v>20.431227750000001</v>
      </c>
      <c r="G778" s="93">
        <f>1.5*(1.184419)</f>
        <v>1.7766285000000002</v>
      </c>
      <c r="H778" s="104">
        <f t="shared" si="38"/>
        <v>102.41671093000001</v>
      </c>
      <c r="I778" s="105">
        <f t="shared" si="39"/>
        <v>102.41671093000001</v>
      </c>
    </row>
    <row r="779" spans="1:9" ht="15" thickBot="1" x14ac:dyDescent="0.35">
      <c r="A779" s="23" t="s">
        <v>1267</v>
      </c>
      <c r="B779" s="31" t="s">
        <v>1117</v>
      </c>
      <c r="C779" s="24" t="s">
        <v>49</v>
      </c>
      <c r="D779" s="27">
        <v>3</v>
      </c>
      <c r="E779" s="93">
        <f>185*(1.184419)</f>
        <v>219.11751500000003</v>
      </c>
      <c r="F779" s="93">
        <f>30.21*(1.184419)</f>
        <v>35.781297990000006</v>
      </c>
      <c r="G779" s="93"/>
      <c r="H779" s="104">
        <f t="shared" si="38"/>
        <v>254.89881299000004</v>
      </c>
      <c r="I779" s="105">
        <f t="shared" si="39"/>
        <v>764.69643897000014</v>
      </c>
    </row>
    <row r="780" spans="1:9" ht="15" thickBot="1" x14ac:dyDescent="0.35">
      <c r="A780" s="23" t="s">
        <v>1268</v>
      </c>
      <c r="B780" s="31" t="s">
        <v>1127</v>
      </c>
      <c r="C780" s="24" t="s">
        <v>49</v>
      </c>
      <c r="D780" s="27">
        <v>2</v>
      </c>
      <c r="E780" s="93">
        <f>243.27*(1.184419)</f>
        <v>288.13361013000002</v>
      </c>
      <c r="F780" s="93">
        <f>11.95*(1.184419)</f>
        <v>14.153807050000001</v>
      </c>
      <c r="G780" s="93"/>
      <c r="H780" s="104">
        <f t="shared" si="38"/>
        <v>302.28741718000003</v>
      </c>
      <c r="I780" s="105">
        <f t="shared" si="39"/>
        <v>604.57483436000007</v>
      </c>
    </row>
    <row r="781" spans="1:9" ht="28.2" thickBot="1" x14ac:dyDescent="0.35">
      <c r="A781" s="23" t="s">
        <v>1269</v>
      </c>
      <c r="B781" s="31" t="s">
        <v>1119</v>
      </c>
      <c r="C781" s="24" t="s">
        <v>49</v>
      </c>
      <c r="D781" s="27">
        <v>1</v>
      </c>
      <c r="E781" s="93">
        <f>9.8*(1.184419)</f>
        <v>11.607306200000002</v>
      </c>
      <c r="F781" s="93">
        <f>2.03*(1.184419)</f>
        <v>2.4043705700000002</v>
      </c>
      <c r="G781" s="93">
        <f>0.18*(1.184419)</f>
        <v>0.21319542000000002</v>
      </c>
      <c r="H781" s="104">
        <f t="shared" si="38"/>
        <v>14.224872190000001</v>
      </c>
      <c r="I781" s="105">
        <f t="shared" si="39"/>
        <v>14.224872190000001</v>
      </c>
    </row>
    <row r="782" spans="1:9" ht="28.2" thickBot="1" x14ac:dyDescent="0.35">
      <c r="A782" s="23" t="s">
        <v>1270</v>
      </c>
      <c r="B782" s="31" t="s">
        <v>1121</v>
      </c>
      <c r="C782" s="24" t="s">
        <v>49</v>
      </c>
      <c r="D782" s="27">
        <v>1</v>
      </c>
      <c r="E782" s="93">
        <f>50.35*(1.184419)</f>
        <v>59.635496650000007</v>
      </c>
      <c r="F782" s="93">
        <f>4.05*(1.184419)</f>
        <v>4.7968969499999998</v>
      </c>
      <c r="G782" s="93">
        <f>0.36*(1.184419)</f>
        <v>0.42639084000000005</v>
      </c>
      <c r="H782" s="104">
        <f t="shared" si="38"/>
        <v>64.858784440000008</v>
      </c>
      <c r="I782" s="105">
        <f t="shared" si="39"/>
        <v>64.858784440000008</v>
      </c>
    </row>
    <row r="783" spans="1:9" ht="15" thickBot="1" x14ac:dyDescent="0.35">
      <c r="A783" s="23" t="s">
        <v>1271</v>
      </c>
      <c r="B783" s="31" t="s">
        <v>1219</v>
      </c>
      <c r="C783" s="24" t="s">
        <v>49</v>
      </c>
      <c r="D783" s="27">
        <v>1</v>
      </c>
      <c r="E783" s="93">
        <f>95.49*(1.184419)</f>
        <v>113.10017031000001</v>
      </c>
      <c r="F783" s="93">
        <f>95.63*(1.184419)</f>
        <v>113.26598897000001</v>
      </c>
      <c r="G783" s="93"/>
      <c r="H783" s="104">
        <f t="shared" si="38"/>
        <v>226.36615928000003</v>
      </c>
      <c r="I783" s="105">
        <f t="shared" si="39"/>
        <v>226.36615928000003</v>
      </c>
    </row>
    <row r="784" spans="1:9" ht="15" thickBot="1" x14ac:dyDescent="0.35">
      <c r="A784" s="23" t="s">
        <v>1272</v>
      </c>
      <c r="B784" s="31" t="s">
        <v>1223</v>
      </c>
      <c r="C784" s="24" t="s">
        <v>49</v>
      </c>
      <c r="D784" s="27">
        <v>1</v>
      </c>
      <c r="E784" s="93">
        <f>344.47*(1.184419)</f>
        <v>407.99681293000009</v>
      </c>
      <c r="F784" s="93">
        <f>88.07*(1.184419)</f>
        <v>104.31178133</v>
      </c>
      <c r="G784" s="93">
        <f>7.82*(1.184419)</f>
        <v>9.262156580000001</v>
      </c>
      <c r="H784" s="104">
        <f t="shared" si="38"/>
        <v>521.57075084000007</v>
      </c>
      <c r="I784" s="105">
        <f t="shared" si="39"/>
        <v>521.57075084000007</v>
      </c>
    </row>
    <row r="785" spans="1:9" ht="28.2" thickBot="1" x14ac:dyDescent="0.35">
      <c r="A785" s="23" t="s">
        <v>1273</v>
      </c>
      <c r="B785" s="31" t="s">
        <v>1221</v>
      </c>
      <c r="C785" s="24" t="s">
        <v>49</v>
      </c>
      <c r="D785" s="27">
        <v>1</v>
      </c>
      <c r="E785" s="93">
        <f>9.65*(1.184419)</f>
        <v>11.429643350000001</v>
      </c>
      <c r="F785" s="93">
        <f>1.5*(1.184419)</f>
        <v>1.7766285000000002</v>
      </c>
      <c r="G785" s="93">
        <f>0.14*(1.184419)</f>
        <v>0.16581866000000003</v>
      </c>
      <c r="H785" s="104">
        <f t="shared" si="38"/>
        <v>13.37209051</v>
      </c>
      <c r="I785" s="105">
        <f t="shared" si="39"/>
        <v>13.37209051</v>
      </c>
    </row>
    <row r="786" spans="1:9" ht="15" thickBot="1" x14ac:dyDescent="0.35">
      <c r="A786" s="23" t="s">
        <v>1274</v>
      </c>
      <c r="B786" s="31" t="s">
        <v>1275</v>
      </c>
      <c r="C786" s="24" t="s">
        <v>49</v>
      </c>
      <c r="D786" s="27">
        <v>1</v>
      </c>
      <c r="E786" s="93">
        <f>334.47*(1.184419)</f>
        <v>396.15262293000006</v>
      </c>
      <c r="F786" s="93">
        <f>88.07*(1.184419)</f>
        <v>104.31178133</v>
      </c>
      <c r="G786" s="93">
        <f>7.82*(1.184419)</f>
        <v>9.262156580000001</v>
      </c>
      <c r="H786" s="104">
        <f t="shared" si="38"/>
        <v>509.72656084000005</v>
      </c>
      <c r="I786" s="105">
        <f t="shared" si="39"/>
        <v>509.72656084000005</v>
      </c>
    </row>
    <row r="787" spans="1:9" ht="15" thickBot="1" x14ac:dyDescent="0.35">
      <c r="A787" s="23" t="s">
        <v>1276</v>
      </c>
      <c r="B787" s="31" t="s">
        <v>1277</v>
      </c>
      <c r="C787" s="24" t="s">
        <v>49</v>
      </c>
      <c r="D787" s="27">
        <v>1</v>
      </c>
      <c r="E787" s="93">
        <f>449.99*(1.184419)</f>
        <v>532.97670581000011</v>
      </c>
      <c r="F787" s="93">
        <f>19.13*(1.184419)</f>
        <v>22.657935470000002</v>
      </c>
      <c r="G787" s="93"/>
      <c r="H787" s="104">
        <f t="shared" si="38"/>
        <v>555.6346412800001</v>
      </c>
      <c r="I787" s="105">
        <f t="shared" si="39"/>
        <v>555.6346412800001</v>
      </c>
    </row>
    <row r="788" spans="1:9" ht="15" thickBot="1" x14ac:dyDescent="0.35">
      <c r="A788" s="23" t="s">
        <v>1278</v>
      </c>
      <c r="B788" s="31" t="s">
        <v>1233</v>
      </c>
      <c r="C788" s="24" t="s">
        <v>49</v>
      </c>
      <c r="D788" s="27">
        <v>1</v>
      </c>
      <c r="E788" s="93">
        <f>35.6*(1.184419)</f>
        <v>42.165316400000009</v>
      </c>
      <c r="F788" s="93">
        <f>1.89*(1.184419)</f>
        <v>2.23855191</v>
      </c>
      <c r="G788" s="93">
        <f>0.19*(1.184419)</f>
        <v>0.22503961000000003</v>
      </c>
      <c r="H788" s="104">
        <f t="shared" si="38"/>
        <v>44.62890792000001</v>
      </c>
      <c r="I788" s="105">
        <f t="shared" si="39"/>
        <v>44.62890792000001</v>
      </c>
    </row>
    <row r="789" spans="1:9" ht="15" thickBot="1" x14ac:dyDescent="0.35">
      <c r="A789" s="23" t="s">
        <v>1279</v>
      </c>
      <c r="B789" s="31" t="s">
        <v>1280</v>
      </c>
      <c r="C789" s="24" t="s">
        <v>49</v>
      </c>
      <c r="D789" s="27">
        <v>1</v>
      </c>
      <c r="E789" s="93">
        <f>334.47*(1.184419)</f>
        <v>396.15262293000006</v>
      </c>
      <c r="F789" s="93">
        <f>88.07*(1.184419)</f>
        <v>104.31178133</v>
      </c>
      <c r="G789" s="93">
        <f>7.82*(1.184419)</f>
        <v>9.262156580000001</v>
      </c>
      <c r="H789" s="104">
        <f t="shared" si="38"/>
        <v>509.72656084000005</v>
      </c>
      <c r="I789" s="105">
        <f t="shared" si="39"/>
        <v>509.72656084000005</v>
      </c>
    </row>
    <row r="790" spans="1:9" ht="28.2" thickBot="1" x14ac:dyDescent="0.35">
      <c r="A790" s="23" t="s">
        <v>1281</v>
      </c>
      <c r="B790" s="31" t="s">
        <v>1282</v>
      </c>
      <c r="C790" s="24" t="s">
        <v>49</v>
      </c>
      <c r="D790" s="27">
        <v>1</v>
      </c>
      <c r="E790" s="93">
        <f>117.94*(1.184419)</f>
        <v>139.69037686000001</v>
      </c>
      <c r="F790" s="93">
        <f>20.2*(1.184419)</f>
        <v>23.9252638</v>
      </c>
      <c r="G790" s="93">
        <f>0.06*(1.184419)</f>
        <v>7.1065139999999999E-2</v>
      </c>
      <c r="H790" s="104">
        <f t="shared" si="38"/>
        <v>163.68670580000003</v>
      </c>
      <c r="I790" s="105">
        <f t="shared" si="39"/>
        <v>163.68670580000003</v>
      </c>
    </row>
    <row r="791" spans="1:9" ht="28.2" thickBot="1" x14ac:dyDescent="0.35">
      <c r="A791" s="23" t="s">
        <v>1283</v>
      </c>
      <c r="B791" s="26" t="s">
        <v>1282</v>
      </c>
      <c r="C791" s="24" t="s">
        <v>49</v>
      </c>
      <c r="D791" s="27">
        <v>1</v>
      </c>
      <c r="E791" s="93">
        <f>117.94*(1.184419)</f>
        <v>139.69037686000001</v>
      </c>
      <c r="F791" s="93">
        <f>20.2*(1.184419)</f>
        <v>23.9252638</v>
      </c>
      <c r="G791" s="93">
        <f>0.06*(1.184419)</f>
        <v>7.1065139999999999E-2</v>
      </c>
      <c r="H791" s="104">
        <f t="shared" si="38"/>
        <v>163.68670580000003</v>
      </c>
      <c r="I791" s="105">
        <f t="shared" si="39"/>
        <v>163.68670580000003</v>
      </c>
    </row>
    <row r="792" spans="1:9" ht="42" thickBot="1" x14ac:dyDescent="0.35">
      <c r="A792" s="23" t="s">
        <v>1284</v>
      </c>
      <c r="B792" s="26" t="s">
        <v>1236</v>
      </c>
      <c r="C792" s="24" t="s">
        <v>49</v>
      </c>
      <c r="D792" s="27">
        <v>1</v>
      </c>
      <c r="E792" s="93">
        <f>681.25*(1.184419)</f>
        <v>806.88544375000004</v>
      </c>
      <c r="F792" s="93">
        <f>25.53*(1.184419)</f>
        <v>30.238217070000005</v>
      </c>
      <c r="G792" s="93">
        <f>2.26*(1.184419)</f>
        <v>2.6767869399999999</v>
      </c>
      <c r="H792" s="104">
        <f t="shared" si="38"/>
        <v>839.80044776000011</v>
      </c>
      <c r="I792" s="105">
        <f t="shared" si="39"/>
        <v>839.80044776000011</v>
      </c>
    </row>
    <row r="793" spans="1:9" ht="15" thickBot="1" x14ac:dyDescent="0.35">
      <c r="A793" s="30"/>
      <c r="B793" s="26"/>
      <c r="C793" s="26"/>
      <c r="D793" s="26"/>
      <c r="E793" s="93"/>
      <c r="F793" s="93"/>
      <c r="G793" s="93"/>
      <c r="H793" s="104"/>
      <c r="I793" s="105"/>
    </row>
    <row r="794" spans="1:9" ht="15" thickBot="1" x14ac:dyDescent="0.35">
      <c r="A794" s="43" t="s">
        <v>1285</v>
      </c>
      <c r="B794" s="42" t="s">
        <v>1286</v>
      </c>
      <c r="C794" s="31"/>
      <c r="D794" s="31"/>
      <c r="E794" s="93"/>
      <c r="F794" s="93"/>
      <c r="G794" s="93"/>
      <c r="H794" s="104"/>
      <c r="I794" s="119">
        <f>SUM(I795:I816)</f>
        <v>64918.704197209998</v>
      </c>
    </row>
    <row r="795" spans="1:9" ht="15" thickBot="1" x14ac:dyDescent="0.35">
      <c r="A795" s="23" t="s">
        <v>1287</v>
      </c>
      <c r="B795" s="26" t="s">
        <v>1288</v>
      </c>
      <c r="C795" s="24" t="s">
        <v>49</v>
      </c>
      <c r="D795" s="27">
        <v>37</v>
      </c>
      <c r="E795" s="93">
        <f>1.46*(1.184419)</f>
        <v>1.72925174</v>
      </c>
      <c r="F795" s="93">
        <f>3.7*(1.184419)</f>
        <v>4.3823503000000006</v>
      </c>
      <c r="G795" s="93"/>
      <c r="H795" s="104">
        <f t="shared" si="38"/>
        <v>6.1116020400000011</v>
      </c>
      <c r="I795" s="105">
        <f t="shared" si="39"/>
        <v>226.12927548000005</v>
      </c>
    </row>
    <row r="796" spans="1:9" ht="15" thickBot="1" x14ac:dyDescent="0.35">
      <c r="A796" s="23" t="s">
        <v>1289</v>
      </c>
      <c r="B796" s="26" t="s">
        <v>1290</v>
      </c>
      <c r="C796" s="24" t="s">
        <v>135</v>
      </c>
      <c r="D796" s="27">
        <v>123</v>
      </c>
      <c r="E796" s="93">
        <f>41.29*(1.184419)</f>
        <v>48.904660510000006</v>
      </c>
      <c r="F796" s="93">
        <f>13.57*(1.184419)</f>
        <v>16.072565830000002</v>
      </c>
      <c r="G796" s="93">
        <f>1.18*(1.184419)</f>
        <v>1.39761442</v>
      </c>
      <c r="H796" s="104">
        <f t="shared" si="38"/>
        <v>66.374840760000012</v>
      </c>
      <c r="I796" s="105">
        <f t="shared" si="39"/>
        <v>8164.1054134800015</v>
      </c>
    </row>
    <row r="797" spans="1:9" ht="15" thickBot="1" x14ac:dyDescent="0.35">
      <c r="A797" s="23" t="s">
        <v>1291</v>
      </c>
      <c r="B797" s="26" t="s">
        <v>1292</v>
      </c>
      <c r="C797" s="24" t="s">
        <v>135</v>
      </c>
      <c r="D797" s="27">
        <v>123</v>
      </c>
      <c r="E797" s="93">
        <f>79.56*(1.184419)</f>
        <v>94.232375640000015</v>
      </c>
      <c r="F797" s="93">
        <f>17.53*(1.184419)</f>
        <v>20.762865070000004</v>
      </c>
      <c r="G797" s="93">
        <f>1.52*(1.184419)</f>
        <v>1.8003168800000002</v>
      </c>
      <c r="H797" s="104">
        <f t="shared" si="38"/>
        <v>116.79555759000002</v>
      </c>
      <c r="I797" s="105">
        <f t="shared" si="39"/>
        <v>14365.853583570002</v>
      </c>
    </row>
    <row r="798" spans="1:9" ht="15" thickBot="1" x14ac:dyDescent="0.35">
      <c r="A798" s="23" t="s">
        <v>1293</v>
      </c>
      <c r="B798" s="26" t="s">
        <v>1294</v>
      </c>
      <c r="C798" s="24" t="s">
        <v>135</v>
      </c>
      <c r="D798" s="27">
        <v>72</v>
      </c>
      <c r="E798" s="93">
        <f>54.75*(1.184419)</f>
        <v>64.846940250000003</v>
      </c>
      <c r="F798" s="93">
        <f>17.18*(1.184419)</f>
        <v>20.348318420000002</v>
      </c>
      <c r="G798" s="93">
        <f>1.5*(1.184419)</f>
        <v>1.7766285000000002</v>
      </c>
      <c r="H798" s="104">
        <f t="shared" si="38"/>
        <v>86.971887170000002</v>
      </c>
      <c r="I798" s="105">
        <f t="shared" si="39"/>
        <v>6261.9758762399997</v>
      </c>
    </row>
    <row r="799" spans="1:9" ht="15" thickBot="1" x14ac:dyDescent="0.35">
      <c r="A799" s="23" t="s">
        <v>1295</v>
      </c>
      <c r="B799" s="26" t="s">
        <v>1296</v>
      </c>
      <c r="C799" s="24" t="s">
        <v>135</v>
      </c>
      <c r="D799" s="27">
        <v>33</v>
      </c>
      <c r="E799" s="93">
        <f>108.83*(1.184419)</f>
        <v>128.90031977000001</v>
      </c>
      <c r="F799" s="93">
        <f>19.73*(1.184419)</f>
        <v>23.368586870000001</v>
      </c>
      <c r="G799" s="93">
        <f>1.72*(1.184419)</f>
        <v>2.0372006800000002</v>
      </c>
      <c r="H799" s="104">
        <f t="shared" si="38"/>
        <v>154.30610732000002</v>
      </c>
      <c r="I799" s="105">
        <f t="shared" si="39"/>
        <v>5092.1015415600004</v>
      </c>
    </row>
    <row r="800" spans="1:9" ht="15" thickBot="1" x14ac:dyDescent="0.35">
      <c r="A800" s="23" t="s">
        <v>1297</v>
      </c>
      <c r="B800" s="26" t="s">
        <v>1298</v>
      </c>
      <c r="C800" s="24" t="s">
        <v>49</v>
      </c>
      <c r="D800" s="27">
        <v>37</v>
      </c>
      <c r="E800" s="93">
        <f>18.94*(1.184419)</f>
        <v>22.432895860000002</v>
      </c>
      <c r="F800" s="93">
        <f>15.78*(1.184419)</f>
        <v>18.690131820000001</v>
      </c>
      <c r="G800" s="93">
        <f>1.38*(1.184419)</f>
        <v>1.63449822</v>
      </c>
      <c r="H800" s="104">
        <f t="shared" si="38"/>
        <v>42.757525900000005</v>
      </c>
      <c r="I800" s="105">
        <f t="shared" si="39"/>
        <v>1582.0284583000002</v>
      </c>
    </row>
    <row r="801" spans="1:9" ht="15" thickBot="1" x14ac:dyDescent="0.35">
      <c r="A801" s="23" t="s">
        <v>1299</v>
      </c>
      <c r="B801" s="26" t="s">
        <v>1300</v>
      </c>
      <c r="C801" s="24" t="s">
        <v>49</v>
      </c>
      <c r="D801" s="27">
        <v>2</v>
      </c>
      <c r="E801" s="93">
        <f>43.89*(1.184419)</f>
        <v>51.984149910000006</v>
      </c>
      <c r="F801" s="93">
        <f>27.18*(1.184419)</f>
        <v>32.192508420000003</v>
      </c>
      <c r="G801" s="93">
        <f>2.36*(1.184419)</f>
        <v>2.79522884</v>
      </c>
      <c r="H801" s="104">
        <f t="shared" si="38"/>
        <v>86.971887170000002</v>
      </c>
      <c r="I801" s="105">
        <f t="shared" si="39"/>
        <v>173.94377434</v>
      </c>
    </row>
    <row r="802" spans="1:9" ht="15" thickBot="1" x14ac:dyDescent="0.35">
      <c r="A802" s="23" t="s">
        <v>1301</v>
      </c>
      <c r="B802" s="26" t="s">
        <v>1302</v>
      </c>
      <c r="C802" s="24" t="s">
        <v>135</v>
      </c>
      <c r="D802" s="27">
        <v>111</v>
      </c>
      <c r="E802" s="93">
        <f>6.76*(1.184419)</f>
        <v>8.0066724400000009</v>
      </c>
      <c r="F802" s="93">
        <f>7.23*(1.184419)</f>
        <v>8.563349370000001</v>
      </c>
      <c r="G802" s="93">
        <f>0.62*(1.184419)</f>
        <v>0.73433978000000011</v>
      </c>
      <c r="H802" s="104">
        <f t="shared" si="38"/>
        <v>17.304361589999999</v>
      </c>
      <c r="I802" s="105">
        <f t="shared" si="39"/>
        <v>1920.7841364899998</v>
      </c>
    </row>
    <row r="803" spans="1:9" ht="42" thickBot="1" x14ac:dyDescent="0.35">
      <c r="A803" s="23" t="s">
        <v>1303</v>
      </c>
      <c r="B803" s="26" t="s">
        <v>1304</v>
      </c>
      <c r="C803" s="24" t="s">
        <v>135</v>
      </c>
      <c r="D803" s="27">
        <v>323</v>
      </c>
      <c r="E803" s="93">
        <f>11.86*(1.184419)</f>
        <v>14.04720934</v>
      </c>
      <c r="F803" s="93">
        <f>4.02*(1.184419)</f>
        <v>4.7613643799999998</v>
      </c>
      <c r="G803" s="93">
        <f>0.34*(1.184419)</f>
        <v>0.40270246000000004</v>
      </c>
      <c r="H803" s="104">
        <f t="shared" si="38"/>
        <v>19.211276179999999</v>
      </c>
      <c r="I803" s="105">
        <f t="shared" si="39"/>
        <v>6205.2422061399993</v>
      </c>
    </row>
    <row r="804" spans="1:9" ht="42" thickBot="1" x14ac:dyDescent="0.35">
      <c r="A804" s="23" t="s">
        <v>1305</v>
      </c>
      <c r="B804" s="26" t="s">
        <v>1306</v>
      </c>
      <c r="C804" s="24" t="s">
        <v>135</v>
      </c>
      <c r="D804" s="27">
        <v>360</v>
      </c>
      <c r="E804" s="93">
        <f>22.99*(1.184419)</f>
        <v>27.229792809999999</v>
      </c>
      <c r="F804" s="93">
        <f>7.31*(1.184419)</f>
        <v>8.6581028900000003</v>
      </c>
      <c r="G804" s="93">
        <f>0.64*(1.184419)</f>
        <v>0.75802816000000006</v>
      </c>
      <c r="H804" s="104">
        <f t="shared" si="38"/>
        <v>36.645923860000003</v>
      </c>
      <c r="I804" s="105">
        <f t="shared" si="39"/>
        <v>13192.532589600001</v>
      </c>
    </row>
    <row r="805" spans="1:9" ht="15" thickBot="1" x14ac:dyDescent="0.35">
      <c r="A805" s="23" t="s">
        <v>1307</v>
      </c>
      <c r="B805" s="26" t="s">
        <v>885</v>
      </c>
      <c r="C805" s="24" t="s">
        <v>49</v>
      </c>
      <c r="D805" s="27">
        <v>24</v>
      </c>
      <c r="E805" s="93">
        <f>15.72*(1.184419)</f>
        <v>18.619066680000003</v>
      </c>
      <c r="F805" s="93">
        <f>4.84*(1.184419)</f>
        <v>5.73258796</v>
      </c>
      <c r="G805" s="93">
        <f>0.01*(1.184419)</f>
        <v>1.1844190000000001E-2</v>
      </c>
      <c r="H805" s="104">
        <f t="shared" si="38"/>
        <v>24.363498830000005</v>
      </c>
      <c r="I805" s="105">
        <f t="shared" si="39"/>
        <v>584.72397192000017</v>
      </c>
    </row>
    <row r="806" spans="1:9" ht="28.2" thickBot="1" x14ac:dyDescent="0.35">
      <c r="A806" s="23" t="s">
        <v>1308</v>
      </c>
      <c r="B806" s="26" t="s">
        <v>740</v>
      </c>
      <c r="C806" s="24" t="s">
        <v>49</v>
      </c>
      <c r="D806" s="27">
        <v>45</v>
      </c>
      <c r="E806" s="93">
        <f>4.23*(1.184419)</f>
        <v>5.0100923700000006</v>
      </c>
      <c r="F806" s="93">
        <f>6.3*(1.184419)</f>
        <v>7.4618397000000005</v>
      </c>
      <c r="G806" s="93">
        <f>0.55*(1.184419)</f>
        <v>0.65143045000000011</v>
      </c>
      <c r="H806" s="104">
        <f t="shared" si="38"/>
        <v>13.123362520000001</v>
      </c>
      <c r="I806" s="105">
        <f t="shared" si="39"/>
        <v>590.55131340000003</v>
      </c>
    </row>
    <row r="807" spans="1:9" ht="28.2" thickBot="1" x14ac:dyDescent="0.35">
      <c r="A807" s="23" t="s">
        <v>1309</v>
      </c>
      <c r="B807" s="26" t="s">
        <v>742</v>
      </c>
      <c r="C807" s="24" t="s">
        <v>49</v>
      </c>
      <c r="D807" s="27">
        <v>13</v>
      </c>
      <c r="E807" s="93">
        <f>6.75*(1.184419)</f>
        <v>7.9948282500000012</v>
      </c>
      <c r="F807" s="93">
        <f>7.24*(1.184419)</f>
        <v>8.5751935600000007</v>
      </c>
      <c r="G807" s="93">
        <f>0.64*(1.184419)</f>
        <v>0.75802816000000006</v>
      </c>
      <c r="H807" s="104">
        <f t="shared" si="38"/>
        <v>17.328049969999999</v>
      </c>
      <c r="I807" s="105">
        <f t="shared" si="39"/>
        <v>225.26464960999999</v>
      </c>
    </row>
    <row r="808" spans="1:9" ht="15" thickBot="1" x14ac:dyDescent="0.35">
      <c r="A808" s="23" t="s">
        <v>1310</v>
      </c>
      <c r="B808" s="26" t="s">
        <v>1311</v>
      </c>
      <c r="C808" s="24" t="s">
        <v>49</v>
      </c>
      <c r="D808" s="27">
        <v>125</v>
      </c>
      <c r="E808" s="93">
        <f>5.46*(1.184419)</f>
        <v>6.4669277400000009</v>
      </c>
      <c r="F808" s="93">
        <f>6.16*(1.184419)</f>
        <v>7.2960210400000012</v>
      </c>
      <c r="G808" s="93"/>
      <c r="H808" s="104">
        <f t="shared" si="38"/>
        <v>13.762948780000002</v>
      </c>
      <c r="I808" s="105">
        <f t="shared" si="39"/>
        <v>1720.3685975000003</v>
      </c>
    </row>
    <row r="809" spans="1:9" ht="15" thickBot="1" x14ac:dyDescent="0.35">
      <c r="A809" s="23" t="s">
        <v>1312</v>
      </c>
      <c r="B809" s="26" t="s">
        <v>1313</v>
      </c>
      <c r="C809" s="24" t="s">
        <v>49</v>
      </c>
      <c r="D809" s="27">
        <v>44</v>
      </c>
      <c r="E809" s="93">
        <f>6.69*(1.184419)</f>
        <v>7.9237631100000012</v>
      </c>
      <c r="F809" s="93">
        <f>6.16*(1.184419)</f>
        <v>7.2960210400000012</v>
      </c>
      <c r="G809" s="93"/>
      <c r="H809" s="104">
        <f t="shared" si="38"/>
        <v>15.219784150000002</v>
      </c>
      <c r="I809" s="105">
        <f t="shared" si="39"/>
        <v>669.67050260000008</v>
      </c>
    </row>
    <row r="810" spans="1:9" ht="15" thickBot="1" x14ac:dyDescent="0.35">
      <c r="A810" s="23" t="s">
        <v>1314</v>
      </c>
      <c r="B810" s="26" t="s">
        <v>1315</v>
      </c>
      <c r="C810" s="24" t="s">
        <v>49</v>
      </c>
      <c r="D810" s="27">
        <v>18</v>
      </c>
      <c r="E810" s="93">
        <f>7.06*(1.184419)</f>
        <v>8.3619981400000007</v>
      </c>
      <c r="F810" s="93">
        <f>6.16*(1.184419)</f>
        <v>7.2960210400000012</v>
      </c>
      <c r="G810" s="93"/>
      <c r="H810" s="104">
        <f t="shared" si="38"/>
        <v>15.658019180000002</v>
      </c>
      <c r="I810" s="105">
        <f t="shared" si="39"/>
        <v>281.84434524000005</v>
      </c>
    </row>
    <row r="811" spans="1:9" ht="15" thickBot="1" x14ac:dyDescent="0.35">
      <c r="A811" s="23" t="s">
        <v>1316</v>
      </c>
      <c r="B811" s="26" t="s">
        <v>904</v>
      </c>
      <c r="C811" s="24" t="s">
        <v>49</v>
      </c>
      <c r="D811" s="27">
        <v>45</v>
      </c>
      <c r="E811" s="93">
        <f>3.04*(1.184419)</f>
        <v>3.6006337600000005</v>
      </c>
      <c r="F811" s="93">
        <f>1.56*(1.184419)</f>
        <v>1.8476936400000001</v>
      </c>
      <c r="G811" s="93"/>
      <c r="H811" s="104">
        <f t="shared" si="38"/>
        <v>5.4483274000000002</v>
      </c>
      <c r="I811" s="105">
        <f t="shared" si="39"/>
        <v>245.174733</v>
      </c>
    </row>
    <row r="812" spans="1:9" ht="15" thickBot="1" x14ac:dyDescent="0.35">
      <c r="A812" s="23" t="s">
        <v>1317</v>
      </c>
      <c r="B812" s="26" t="s">
        <v>820</v>
      </c>
      <c r="C812" s="24" t="s">
        <v>49</v>
      </c>
      <c r="D812" s="27">
        <v>13</v>
      </c>
      <c r="E812" s="93">
        <f>8.73*(1.184419)</f>
        <v>10.339977870000002</v>
      </c>
      <c r="F812" s="93">
        <f>1.56*(1.184419)</f>
        <v>1.8476936400000001</v>
      </c>
      <c r="G812" s="93"/>
      <c r="H812" s="104">
        <f t="shared" si="38"/>
        <v>12.187671510000001</v>
      </c>
      <c r="I812" s="105">
        <f t="shared" si="39"/>
        <v>158.43972963000002</v>
      </c>
    </row>
    <row r="813" spans="1:9" ht="15" thickBot="1" x14ac:dyDescent="0.35">
      <c r="A813" s="23" t="s">
        <v>1318</v>
      </c>
      <c r="B813" s="26" t="s">
        <v>1027</v>
      </c>
      <c r="C813" s="24" t="s">
        <v>49</v>
      </c>
      <c r="D813" s="27">
        <v>4</v>
      </c>
      <c r="E813" s="93">
        <f>17.21*(1.184419)</f>
        <v>20.383850990000003</v>
      </c>
      <c r="F813" s="93">
        <f>35.97*(1.184419)</f>
        <v>42.603551430000003</v>
      </c>
      <c r="G813" s="93"/>
      <c r="H813" s="104">
        <f t="shared" si="38"/>
        <v>62.987402420000009</v>
      </c>
      <c r="I813" s="105">
        <f t="shared" si="39"/>
        <v>251.94960968000004</v>
      </c>
    </row>
    <row r="814" spans="1:9" ht="15" thickBot="1" x14ac:dyDescent="0.35">
      <c r="A814" s="23" t="s">
        <v>1319</v>
      </c>
      <c r="B814" s="26" t="s">
        <v>1320</v>
      </c>
      <c r="C814" s="24" t="s">
        <v>49</v>
      </c>
      <c r="D814" s="27">
        <v>1</v>
      </c>
      <c r="E814" s="93">
        <f>33.13*(1.184419)</f>
        <v>39.239801470000003</v>
      </c>
      <c r="F814" s="93">
        <f>47.96*(1.184419)</f>
        <v>56.804735240000007</v>
      </c>
      <c r="G814" s="93"/>
      <c r="H814" s="104">
        <f t="shared" si="38"/>
        <v>96.044536710000017</v>
      </c>
      <c r="I814" s="105">
        <f t="shared" si="39"/>
        <v>96.044536710000017</v>
      </c>
    </row>
    <row r="815" spans="1:9" ht="15" thickBot="1" x14ac:dyDescent="0.35">
      <c r="A815" s="23" t="s">
        <v>1321</v>
      </c>
      <c r="B815" s="26" t="s">
        <v>1322</v>
      </c>
      <c r="C815" s="24" t="s">
        <v>49</v>
      </c>
      <c r="D815" s="27">
        <v>3</v>
      </c>
      <c r="E815" s="93">
        <f>54.6*(1.184419)</f>
        <v>64.669277400000013</v>
      </c>
      <c r="F815" s="93">
        <f>59.96*(1.184419)</f>
        <v>71.017763240000008</v>
      </c>
      <c r="G815" s="93"/>
      <c r="H815" s="104">
        <f t="shared" si="38"/>
        <v>135.68704064000002</v>
      </c>
      <c r="I815" s="105">
        <f t="shared" si="39"/>
        <v>407.06112192000006</v>
      </c>
    </row>
    <row r="816" spans="1:9" ht="28.2" thickBot="1" x14ac:dyDescent="0.35">
      <c r="A816" s="23" t="s">
        <v>1323</v>
      </c>
      <c r="B816" s="26" t="s">
        <v>1324</v>
      </c>
      <c r="C816" s="24" t="s">
        <v>49</v>
      </c>
      <c r="D816" s="27">
        <v>6</v>
      </c>
      <c r="E816" s="93">
        <f>230.73*(1.184419)</f>
        <v>273.28099587000003</v>
      </c>
      <c r="F816" s="93">
        <f>121.14*(1.184419)</f>
        <v>143.48051766</v>
      </c>
      <c r="G816" s="93">
        <f>0.33*(1.184419)</f>
        <v>0.39085827000000006</v>
      </c>
      <c r="H816" s="104">
        <f t="shared" si="38"/>
        <v>417.15237180000003</v>
      </c>
      <c r="I816" s="105">
        <f t="shared" si="39"/>
        <v>2502.9142308</v>
      </c>
    </row>
    <row r="817" spans="1:9" ht="15" thickBot="1" x14ac:dyDescent="0.35">
      <c r="A817" s="30"/>
      <c r="B817" s="26"/>
      <c r="C817" s="26"/>
      <c r="D817" s="26"/>
      <c r="E817" s="93"/>
      <c r="F817" s="93"/>
      <c r="G817" s="93"/>
      <c r="H817" s="104"/>
      <c r="I817" s="105"/>
    </row>
    <row r="818" spans="1:9" ht="15" thickBot="1" x14ac:dyDescent="0.35">
      <c r="A818" s="43" t="s">
        <v>1325</v>
      </c>
      <c r="B818" s="42" t="s">
        <v>1326</v>
      </c>
      <c r="C818" s="31"/>
      <c r="D818" s="31"/>
      <c r="E818" s="93"/>
      <c r="F818" s="93"/>
      <c r="G818" s="93"/>
      <c r="H818" s="104"/>
      <c r="I818" s="119">
        <f>SUM(I819:I835)</f>
        <v>370313.84732617001</v>
      </c>
    </row>
    <row r="819" spans="1:9" ht="28.2" thickBot="1" x14ac:dyDescent="0.35">
      <c r="A819" s="23" t="s">
        <v>1327</v>
      </c>
      <c r="B819" s="26" t="s">
        <v>1328</v>
      </c>
      <c r="C819" s="24" t="s">
        <v>135</v>
      </c>
      <c r="D819" s="28">
        <v>2000</v>
      </c>
      <c r="E819" s="93">
        <f>2.94*(1.184419)</f>
        <v>3.4821918600000004</v>
      </c>
      <c r="F819" s="93">
        <f>1.27*(1.184419)</f>
        <v>1.5042121300000002</v>
      </c>
      <c r="G819" s="93">
        <f>0.12*(1.184419)</f>
        <v>0.14213028</v>
      </c>
      <c r="H819" s="104">
        <f t="shared" si="38"/>
        <v>5.1285342700000003</v>
      </c>
      <c r="I819" s="105">
        <f t="shared" si="39"/>
        <v>10257.06854</v>
      </c>
    </row>
    <row r="820" spans="1:9" ht="28.2" thickBot="1" x14ac:dyDescent="0.35">
      <c r="A820" s="23" t="s">
        <v>1329</v>
      </c>
      <c r="B820" s="26" t="s">
        <v>1330</v>
      </c>
      <c r="C820" s="24" t="s">
        <v>135</v>
      </c>
      <c r="D820" s="27">
        <v>900</v>
      </c>
      <c r="E820" s="93">
        <f>5.06*(1.184419)</f>
        <v>5.9931601400000005</v>
      </c>
      <c r="F820" s="93">
        <f>1.71*(1.184419)</f>
        <v>2.0253564900000001</v>
      </c>
      <c r="G820" s="93">
        <f>0.14*(1.184419)</f>
        <v>0.16581866000000003</v>
      </c>
      <c r="H820" s="104">
        <f t="shared" si="38"/>
        <v>8.1843352899999999</v>
      </c>
      <c r="I820" s="105">
        <f t="shared" si="39"/>
        <v>7365.9017610000001</v>
      </c>
    </row>
    <row r="821" spans="1:9" ht="28.2" thickBot="1" x14ac:dyDescent="0.35">
      <c r="A821" s="23" t="s">
        <v>1331</v>
      </c>
      <c r="B821" s="26" t="s">
        <v>1332</v>
      </c>
      <c r="C821" s="24" t="s">
        <v>135</v>
      </c>
      <c r="D821" s="27">
        <v>168</v>
      </c>
      <c r="E821" s="93">
        <f>6.94*(1.184419)</f>
        <v>8.2198678600000008</v>
      </c>
      <c r="F821" s="93">
        <f>3.35*(1.184419)</f>
        <v>3.9678036500000005</v>
      </c>
      <c r="G821" s="93"/>
      <c r="H821" s="104">
        <f t="shared" si="38"/>
        <v>12.187671510000001</v>
      </c>
      <c r="I821" s="105">
        <f t="shared" si="39"/>
        <v>2047.5288136800002</v>
      </c>
    </row>
    <row r="822" spans="1:9" ht="28.2" thickBot="1" x14ac:dyDescent="0.35">
      <c r="A822" s="23" t="s">
        <v>1333</v>
      </c>
      <c r="B822" s="26" t="s">
        <v>1334</v>
      </c>
      <c r="C822" s="24" t="s">
        <v>135</v>
      </c>
      <c r="D822" s="27">
        <v>320</v>
      </c>
      <c r="E822" s="93">
        <f>11.14*(1.184419)</f>
        <v>13.194427660000002</v>
      </c>
      <c r="F822" s="93">
        <f>3.83*(1.184419)</f>
        <v>4.5363247700000002</v>
      </c>
      <c r="G822" s="93"/>
      <c r="H822" s="104">
        <f t="shared" si="38"/>
        <v>17.730752430000003</v>
      </c>
      <c r="I822" s="105">
        <f t="shared" si="39"/>
        <v>5673.8407776000004</v>
      </c>
    </row>
    <row r="823" spans="1:9" ht="28.2" thickBot="1" x14ac:dyDescent="0.35">
      <c r="A823" s="23" t="s">
        <v>1335</v>
      </c>
      <c r="B823" s="26" t="s">
        <v>1336</v>
      </c>
      <c r="C823" s="24" t="s">
        <v>135</v>
      </c>
      <c r="D823" s="27">
        <v>192</v>
      </c>
      <c r="E823" s="93">
        <f>16.8*(1.184419)</f>
        <v>19.898239200000003</v>
      </c>
      <c r="F823" s="93">
        <f>4.3*(1.184419)</f>
        <v>5.0930017000000003</v>
      </c>
      <c r="G823" s="93"/>
      <c r="H823" s="104">
        <f t="shared" si="38"/>
        <v>24.991240900000001</v>
      </c>
      <c r="I823" s="105">
        <f t="shared" si="39"/>
        <v>4798.3182527999998</v>
      </c>
    </row>
    <row r="824" spans="1:9" ht="28.2" thickBot="1" x14ac:dyDescent="0.35">
      <c r="A824" s="23" t="s">
        <v>1337</v>
      </c>
      <c r="B824" s="26" t="s">
        <v>1338</v>
      </c>
      <c r="C824" s="24" t="s">
        <v>135</v>
      </c>
      <c r="D824" s="27">
        <v>645</v>
      </c>
      <c r="E824" s="93">
        <f>27.01*(1.184419)</f>
        <v>31.991157190000006</v>
      </c>
      <c r="F824" s="93">
        <f>4.78*(1.184419)</f>
        <v>5.661522820000001</v>
      </c>
      <c r="G824" s="93"/>
      <c r="H824" s="104">
        <f t="shared" si="38"/>
        <v>37.652680010000005</v>
      </c>
      <c r="I824" s="105">
        <f t="shared" si="39"/>
        <v>24285.978606450004</v>
      </c>
    </row>
    <row r="825" spans="1:9" ht="28.2" thickBot="1" x14ac:dyDescent="0.35">
      <c r="A825" s="23" t="s">
        <v>1339</v>
      </c>
      <c r="B825" s="26" t="s">
        <v>1340</v>
      </c>
      <c r="C825" s="24" t="s">
        <v>135</v>
      </c>
      <c r="D825" s="27">
        <v>364</v>
      </c>
      <c r="E825" s="93">
        <f>35.53*(1.184419)</f>
        <v>42.082407070000002</v>
      </c>
      <c r="F825" s="93">
        <f>7.17*(1.184419)</f>
        <v>8.492284230000001</v>
      </c>
      <c r="G825" s="93"/>
      <c r="H825" s="104">
        <f t="shared" si="38"/>
        <v>50.574691300000005</v>
      </c>
      <c r="I825" s="105">
        <f t="shared" si="39"/>
        <v>18409.187633200003</v>
      </c>
    </row>
    <row r="826" spans="1:9" ht="28.2" thickBot="1" x14ac:dyDescent="0.35">
      <c r="A826" s="23" t="s">
        <v>1341</v>
      </c>
      <c r="B826" s="26" t="s">
        <v>1342</v>
      </c>
      <c r="C826" s="24" t="s">
        <v>135</v>
      </c>
      <c r="D826" s="27">
        <v>468</v>
      </c>
      <c r="E826" s="93">
        <f>54.54*(1.184419)</f>
        <v>64.598212260000011</v>
      </c>
      <c r="F826" s="93">
        <f>9.56*(1.184419)</f>
        <v>11.323045640000002</v>
      </c>
      <c r="G826" s="93"/>
      <c r="H826" s="104">
        <f t="shared" si="38"/>
        <v>75.921257900000015</v>
      </c>
      <c r="I826" s="105">
        <f t="shared" si="39"/>
        <v>35531.148697200006</v>
      </c>
    </row>
    <row r="827" spans="1:9" ht="28.2" thickBot="1" x14ac:dyDescent="0.35">
      <c r="A827" s="23" t="s">
        <v>1343</v>
      </c>
      <c r="B827" s="26" t="s">
        <v>1344</v>
      </c>
      <c r="C827" s="24" t="s">
        <v>135</v>
      </c>
      <c r="D827" s="27">
        <v>240</v>
      </c>
      <c r="E827" s="93">
        <f>94.06*(1.184419)</f>
        <v>111.40645114000002</v>
      </c>
      <c r="F827" s="93">
        <f>14.34*(1.184419)</f>
        <v>16.984568460000002</v>
      </c>
      <c r="G827" s="93"/>
      <c r="H827" s="104">
        <f t="shared" si="38"/>
        <v>128.39101960000002</v>
      </c>
      <c r="I827" s="105">
        <f t="shared" si="39"/>
        <v>30813.844704000006</v>
      </c>
    </row>
    <row r="828" spans="1:9" ht="28.2" thickBot="1" x14ac:dyDescent="0.35">
      <c r="A828" s="23" t="s">
        <v>1345</v>
      </c>
      <c r="B828" s="26" t="s">
        <v>1346</v>
      </c>
      <c r="C828" s="24" t="s">
        <v>135</v>
      </c>
      <c r="D828" s="27">
        <v>960</v>
      </c>
      <c r="E828" s="93">
        <f>178.92*(1.184419)</f>
        <v>211.91624748000001</v>
      </c>
      <c r="F828" s="93">
        <f>21.51*(1.184419)</f>
        <v>25.476852690000005</v>
      </c>
      <c r="G828" s="93"/>
      <c r="H828" s="104">
        <f t="shared" si="38"/>
        <v>237.39310017000003</v>
      </c>
      <c r="I828" s="105">
        <f t="shared" si="39"/>
        <v>227897.37616320001</v>
      </c>
    </row>
    <row r="829" spans="1:9" ht="15" thickBot="1" x14ac:dyDescent="0.35">
      <c r="A829" s="23" t="s">
        <v>1347</v>
      </c>
      <c r="B829" s="26" t="s">
        <v>1348</v>
      </c>
      <c r="C829" s="24" t="s">
        <v>49</v>
      </c>
      <c r="D829" s="27">
        <v>30</v>
      </c>
      <c r="E829" s="93">
        <f>5.71*(1.184419)</f>
        <v>6.7630324900000005</v>
      </c>
      <c r="F829" s="93">
        <f>7.17*(1.184419)</f>
        <v>8.492284230000001</v>
      </c>
      <c r="G829" s="93"/>
      <c r="H829" s="104">
        <f t="shared" si="38"/>
        <v>15.255316720000001</v>
      </c>
      <c r="I829" s="105">
        <f t="shared" si="39"/>
        <v>457.65950160000006</v>
      </c>
    </row>
    <row r="830" spans="1:9" ht="15" thickBot="1" x14ac:dyDescent="0.35">
      <c r="A830" s="23" t="s">
        <v>1349</v>
      </c>
      <c r="B830" s="26" t="s">
        <v>1350</v>
      </c>
      <c r="C830" s="24" t="s">
        <v>49</v>
      </c>
      <c r="D830" s="27">
        <v>12</v>
      </c>
      <c r="E830" s="93">
        <f>8.5*(1.184419)</f>
        <v>10.0675615</v>
      </c>
      <c r="F830" s="93">
        <f>7.17*(1.184419)</f>
        <v>8.492284230000001</v>
      </c>
      <c r="G830" s="93"/>
      <c r="H830" s="104">
        <f t="shared" si="38"/>
        <v>18.559845729999999</v>
      </c>
      <c r="I830" s="105">
        <f t="shared" si="39"/>
        <v>222.71814875999999</v>
      </c>
    </row>
    <row r="831" spans="1:9" ht="15" thickBot="1" x14ac:dyDescent="0.35">
      <c r="A831" s="23" t="s">
        <v>1351</v>
      </c>
      <c r="B831" s="26" t="s">
        <v>1352</v>
      </c>
      <c r="C831" s="24" t="s">
        <v>49</v>
      </c>
      <c r="D831" s="27">
        <v>36</v>
      </c>
      <c r="E831" s="93">
        <f>8.34*(1.184419)</f>
        <v>9.8780544600000013</v>
      </c>
      <c r="F831" s="93">
        <f>7.17*(1.184419)</f>
        <v>8.492284230000001</v>
      </c>
      <c r="G831" s="93"/>
      <c r="H831" s="104">
        <f t="shared" si="38"/>
        <v>18.370338690000004</v>
      </c>
      <c r="I831" s="105">
        <f t="shared" si="39"/>
        <v>661.33219284000018</v>
      </c>
    </row>
    <row r="832" spans="1:9" ht="15" thickBot="1" x14ac:dyDescent="0.35">
      <c r="A832" s="23" t="s">
        <v>1353</v>
      </c>
      <c r="B832" s="26" t="s">
        <v>1051</v>
      </c>
      <c r="C832" s="24" t="s">
        <v>49</v>
      </c>
      <c r="D832" s="27">
        <v>16</v>
      </c>
      <c r="E832" s="93">
        <f>9.19*(1.184419)</f>
        <v>10.884810610000001</v>
      </c>
      <c r="F832" s="93">
        <f>7.17*(1.184419)</f>
        <v>8.492284230000001</v>
      </c>
      <c r="G832" s="93"/>
      <c r="H832" s="104">
        <f t="shared" si="38"/>
        <v>19.377094840000002</v>
      </c>
      <c r="I832" s="105">
        <f t="shared" si="39"/>
        <v>310.03351744000003</v>
      </c>
    </row>
    <row r="833" spans="1:9" ht="15" thickBot="1" x14ac:dyDescent="0.35">
      <c r="A833" s="23" t="s">
        <v>1354</v>
      </c>
      <c r="B833" s="26" t="s">
        <v>1355</v>
      </c>
      <c r="C833" s="24" t="s">
        <v>49</v>
      </c>
      <c r="D833" s="27">
        <v>16</v>
      </c>
      <c r="E833" s="93">
        <f>13.55*(1.184419)</f>
        <v>16.048877450000003</v>
      </c>
      <c r="F833" s="93">
        <f>7.17*(1.184419)</f>
        <v>8.492284230000001</v>
      </c>
      <c r="G833" s="93"/>
      <c r="H833" s="104">
        <f t="shared" si="38"/>
        <v>24.541161680000002</v>
      </c>
      <c r="I833" s="105">
        <f t="shared" si="39"/>
        <v>392.65858688000003</v>
      </c>
    </row>
    <row r="834" spans="1:9" ht="15" thickBot="1" x14ac:dyDescent="0.35">
      <c r="A834" s="23" t="s">
        <v>1356</v>
      </c>
      <c r="B834" s="26" t="s">
        <v>1357</v>
      </c>
      <c r="C834" s="24" t="s">
        <v>49</v>
      </c>
      <c r="D834" s="27">
        <v>4</v>
      </c>
      <c r="E834" s="93">
        <f>28.9*(1.184419)</f>
        <v>34.229709100000001</v>
      </c>
      <c r="F834" s="93">
        <f>9.56*(1.184419)</f>
        <v>11.323045640000002</v>
      </c>
      <c r="G834" s="93"/>
      <c r="H834" s="104">
        <f t="shared" si="38"/>
        <v>45.552754740000005</v>
      </c>
      <c r="I834" s="105">
        <f t="shared" si="39"/>
        <v>182.21101896000002</v>
      </c>
    </row>
    <row r="835" spans="1:9" ht="15" thickBot="1" x14ac:dyDescent="0.35">
      <c r="A835" s="23" t="s">
        <v>1358</v>
      </c>
      <c r="B835" s="26" t="s">
        <v>1359</v>
      </c>
      <c r="C835" s="24" t="s">
        <v>49</v>
      </c>
      <c r="D835" s="27">
        <v>16</v>
      </c>
      <c r="E835" s="93">
        <f>43.58*(1.184419)</f>
        <v>51.61698002</v>
      </c>
      <c r="F835" s="93">
        <f>9.56*(1.184419)</f>
        <v>11.323045640000002</v>
      </c>
      <c r="G835" s="93"/>
      <c r="H835" s="104">
        <f t="shared" si="38"/>
        <v>62.940025660000003</v>
      </c>
      <c r="I835" s="105">
        <f t="shared" si="39"/>
        <v>1007.0404105600001</v>
      </c>
    </row>
    <row r="836" spans="1:9" ht="15" thickBot="1" x14ac:dyDescent="0.35">
      <c r="A836" s="30"/>
      <c r="B836" s="26"/>
      <c r="C836" s="26"/>
      <c r="D836" s="26"/>
      <c r="E836" s="93"/>
      <c r="F836" s="93"/>
      <c r="G836" s="93"/>
      <c r="H836" s="104"/>
      <c r="I836" s="105"/>
    </row>
    <row r="837" spans="1:9" ht="28.2" thickBot="1" x14ac:dyDescent="0.35">
      <c r="A837" s="18" t="s">
        <v>1360</v>
      </c>
      <c r="B837" s="20" t="s">
        <v>1980</v>
      </c>
      <c r="C837" s="19"/>
      <c r="D837" s="19"/>
      <c r="E837" s="19"/>
      <c r="F837" s="19"/>
      <c r="G837" s="19"/>
      <c r="H837" s="19"/>
      <c r="I837" s="115">
        <f>I838+I900+I994+I1069+0</f>
        <v>370856.59193547303</v>
      </c>
    </row>
    <row r="838" spans="1:9" ht="15" thickBot="1" x14ac:dyDescent="0.35">
      <c r="A838" s="34" t="s">
        <v>1362</v>
      </c>
      <c r="B838" s="36" t="s">
        <v>1363</v>
      </c>
      <c r="C838" s="35"/>
      <c r="D838" s="35"/>
      <c r="E838" s="35"/>
      <c r="F838" s="35"/>
      <c r="G838" s="35"/>
      <c r="H838" s="35"/>
      <c r="I838" s="117">
        <f>I839+I867+I880+I876+I890+0</f>
        <v>164853.10978701001</v>
      </c>
    </row>
    <row r="839" spans="1:9" ht="15" thickBot="1" x14ac:dyDescent="0.35">
      <c r="A839" s="40" t="s">
        <v>1364</v>
      </c>
      <c r="B839" s="41" t="s">
        <v>1365</v>
      </c>
      <c r="C839" s="26"/>
      <c r="D839" s="26"/>
      <c r="E839" s="93"/>
      <c r="F839" s="93"/>
      <c r="G839" s="93"/>
      <c r="H839" s="104"/>
      <c r="I839" s="119">
        <f>SUM(I840:I865)</f>
        <v>102417.29129531</v>
      </c>
    </row>
    <row r="840" spans="1:9" ht="28.2" thickBot="1" x14ac:dyDescent="0.35">
      <c r="A840" s="23" t="s">
        <v>1366</v>
      </c>
      <c r="B840" s="26" t="s">
        <v>1367</v>
      </c>
      <c r="C840" s="24" t="s">
        <v>135</v>
      </c>
      <c r="D840" s="27">
        <v>13</v>
      </c>
      <c r="E840" s="93">
        <f>25.95*(1.184419)</f>
        <v>30.735673050000003</v>
      </c>
      <c r="F840" s="93">
        <f>2.93*(1.184419)</f>
        <v>3.4703476700000007</v>
      </c>
      <c r="G840" s="93">
        <f>0.18*(1.184419)</f>
        <v>0.21319542000000002</v>
      </c>
      <c r="H840" s="104">
        <f t="shared" ref="H840:H903" si="40">E840+F840+G840</f>
        <v>34.419216140000003</v>
      </c>
      <c r="I840" s="105">
        <f t="shared" ref="I840:I903" si="41">H840*D840</f>
        <v>447.44980982000004</v>
      </c>
    </row>
    <row r="841" spans="1:9" ht="28.2" thickBot="1" x14ac:dyDescent="0.35">
      <c r="A841" s="23" t="s">
        <v>1368</v>
      </c>
      <c r="B841" s="26" t="s">
        <v>1369</v>
      </c>
      <c r="C841" s="24" t="s">
        <v>135</v>
      </c>
      <c r="D841" s="27">
        <v>156</v>
      </c>
      <c r="E841" s="93">
        <f>57.5*(1.184419)</f>
        <v>68.104092500000007</v>
      </c>
      <c r="F841" s="93">
        <f>18.64*(1.184419)</f>
        <v>22.077570160000004</v>
      </c>
      <c r="G841" s="93">
        <f>1.12*(1.184419)</f>
        <v>1.3265492800000003</v>
      </c>
      <c r="H841" s="104">
        <f t="shared" si="40"/>
        <v>91.50821194000001</v>
      </c>
      <c r="I841" s="105">
        <f t="shared" si="41"/>
        <v>14275.281062640002</v>
      </c>
    </row>
    <row r="842" spans="1:9" ht="28.2" thickBot="1" x14ac:dyDescent="0.35">
      <c r="A842" s="23" t="s">
        <v>1370</v>
      </c>
      <c r="B842" s="26" t="s">
        <v>1371</v>
      </c>
      <c r="C842" s="24" t="s">
        <v>135</v>
      </c>
      <c r="D842" s="27">
        <v>248</v>
      </c>
      <c r="E842" s="93">
        <f>90.36*(1.184419)</f>
        <v>107.02410084</v>
      </c>
      <c r="F842" s="93">
        <f>7.54*(1.184419)</f>
        <v>8.9305192600000005</v>
      </c>
      <c r="G842" s="93">
        <f>0.46*(1.184419)</f>
        <v>0.54483274000000004</v>
      </c>
      <c r="H842" s="104">
        <f t="shared" si="40"/>
        <v>116.49945284</v>
      </c>
      <c r="I842" s="105">
        <f t="shared" si="41"/>
        <v>28891.864304319999</v>
      </c>
    </row>
    <row r="843" spans="1:9" ht="15" thickBot="1" x14ac:dyDescent="0.35">
      <c r="A843" s="23" t="s">
        <v>1372</v>
      </c>
      <c r="B843" s="26" t="s">
        <v>1373</v>
      </c>
      <c r="C843" s="24" t="s">
        <v>49</v>
      </c>
      <c r="D843" s="32">
        <v>22</v>
      </c>
      <c r="E843" s="93">
        <f>4.19*(1.184419)</f>
        <v>4.9627156100000009</v>
      </c>
      <c r="F843" s="93">
        <f>7.71*(1.184419)</f>
        <v>9.1318704900000007</v>
      </c>
      <c r="G843" s="93">
        <f>0.46*(1.184419)</f>
        <v>0.54483274000000004</v>
      </c>
      <c r="H843" s="104">
        <f t="shared" si="40"/>
        <v>14.639418840000001</v>
      </c>
      <c r="I843" s="105">
        <f t="shared" si="41"/>
        <v>322.06721448000002</v>
      </c>
    </row>
    <row r="844" spans="1:9" ht="15" thickBot="1" x14ac:dyDescent="0.35">
      <c r="A844" s="23" t="s">
        <v>1374</v>
      </c>
      <c r="B844" s="26" t="s">
        <v>1375</v>
      </c>
      <c r="C844" s="24" t="s">
        <v>49</v>
      </c>
      <c r="D844" s="32">
        <v>181</v>
      </c>
      <c r="E844" s="93">
        <f>3.47*(1.184419)</f>
        <v>4.1099339300000004</v>
      </c>
      <c r="F844" s="93">
        <f>3.31*(1.184419)</f>
        <v>3.9204268900000003</v>
      </c>
      <c r="G844" s="93">
        <f>0.23*(1.184419)</f>
        <v>0.27241637000000002</v>
      </c>
      <c r="H844" s="104">
        <f t="shared" si="40"/>
        <v>8.3027771900000005</v>
      </c>
      <c r="I844" s="105">
        <f t="shared" si="41"/>
        <v>1502.8026713900001</v>
      </c>
    </row>
    <row r="845" spans="1:9" ht="15" thickBot="1" x14ac:dyDescent="0.35">
      <c r="A845" s="23" t="s">
        <v>1376</v>
      </c>
      <c r="B845" s="26" t="s">
        <v>1377</v>
      </c>
      <c r="C845" s="24" t="s">
        <v>49</v>
      </c>
      <c r="D845" s="32">
        <v>173</v>
      </c>
      <c r="E845" s="93">
        <f>11.64*(1.184419)</f>
        <v>13.786637160000002</v>
      </c>
      <c r="F845" s="93">
        <f>5.2*(1.184419)</f>
        <v>6.1589788000000008</v>
      </c>
      <c r="G845" s="93">
        <f>0.32*(1.184419)</f>
        <v>0.37901408000000003</v>
      </c>
      <c r="H845" s="104">
        <f t="shared" si="40"/>
        <v>20.324630040000002</v>
      </c>
      <c r="I845" s="105">
        <f t="shared" si="41"/>
        <v>3516.1609969200003</v>
      </c>
    </row>
    <row r="846" spans="1:9" ht="42" thickBot="1" x14ac:dyDescent="0.35">
      <c r="A846" s="23" t="s">
        <v>1378</v>
      </c>
      <c r="B846" s="26" t="s">
        <v>1379</v>
      </c>
      <c r="C846" s="24" t="s">
        <v>49</v>
      </c>
      <c r="D846" s="32">
        <v>22</v>
      </c>
      <c r="E846" s="93">
        <f>27.76*(1.184419)</f>
        <v>32.879471440000003</v>
      </c>
      <c r="F846" s="93">
        <f>2.52*(1.184419)</f>
        <v>2.9847358800000001</v>
      </c>
      <c r="G846" s="93">
        <f>0.16*(1.184419)</f>
        <v>0.18950704000000002</v>
      </c>
      <c r="H846" s="104">
        <f t="shared" si="40"/>
        <v>36.053714360000008</v>
      </c>
      <c r="I846" s="105">
        <f t="shared" si="41"/>
        <v>793.18171592000022</v>
      </c>
    </row>
    <row r="847" spans="1:9" ht="42" thickBot="1" x14ac:dyDescent="0.35">
      <c r="A847" s="23" t="s">
        <v>1380</v>
      </c>
      <c r="B847" s="26" t="s">
        <v>1381</v>
      </c>
      <c r="C847" s="24" t="s">
        <v>49</v>
      </c>
      <c r="D847" s="32">
        <v>181</v>
      </c>
      <c r="E847" s="93">
        <f>41.92*(1.184419)</f>
        <v>49.650844480000004</v>
      </c>
      <c r="F847" s="93">
        <f>4.19*(1.184419)</f>
        <v>4.9627156100000009</v>
      </c>
      <c r="G847" s="93">
        <f>0.26*(1.184419)</f>
        <v>0.30794894000000006</v>
      </c>
      <c r="H847" s="104">
        <f t="shared" si="40"/>
        <v>54.92150903000001</v>
      </c>
      <c r="I847" s="105">
        <f t="shared" si="41"/>
        <v>9940.7931344300014</v>
      </c>
    </row>
    <row r="848" spans="1:9" ht="42" thickBot="1" x14ac:dyDescent="0.35">
      <c r="A848" s="23" t="s">
        <v>1382</v>
      </c>
      <c r="B848" s="26" t="s">
        <v>1383</v>
      </c>
      <c r="C848" s="24" t="s">
        <v>49</v>
      </c>
      <c r="D848" s="32">
        <v>173</v>
      </c>
      <c r="E848" s="93">
        <f>137.72*(1.184419)</f>
        <v>163.11818468000001</v>
      </c>
      <c r="F848" s="93">
        <f>7.12*(1.184419)</f>
        <v>8.4330632800000007</v>
      </c>
      <c r="G848" s="93">
        <f>0.42*(1.184419)</f>
        <v>0.49745598000000002</v>
      </c>
      <c r="H848" s="104">
        <f t="shared" si="40"/>
        <v>172.04870394000002</v>
      </c>
      <c r="I848" s="105">
        <f t="shared" si="41"/>
        <v>29764.425781620004</v>
      </c>
    </row>
    <row r="849" spans="1:9" ht="42" thickBot="1" x14ac:dyDescent="0.35">
      <c r="A849" s="23" t="s">
        <v>1384</v>
      </c>
      <c r="B849" s="26" t="s">
        <v>1385</v>
      </c>
      <c r="C849" s="24" t="s">
        <v>49</v>
      </c>
      <c r="D849" s="32">
        <v>2</v>
      </c>
      <c r="E849" s="93">
        <f>23.99*(1.184419)</f>
        <v>28.414211810000001</v>
      </c>
      <c r="F849" s="93">
        <f>2.52*(1.184419)</f>
        <v>2.9847358800000001</v>
      </c>
      <c r="G849" s="93">
        <f>0.16*(1.184419)</f>
        <v>0.18950704000000002</v>
      </c>
      <c r="H849" s="104">
        <f t="shared" si="40"/>
        <v>31.588454729999999</v>
      </c>
      <c r="I849" s="105">
        <f t="shared" si="41"/>
        <v>63.176909459999997</v>
      </c>
    </row>
    <row r="850" spans="1:9" ht="42" thickBot="1" x14ac:dyDescent="0.35">
      <c r="A850" s="23" t="s">
        <v>1386</v>
      </c>
      <c r="B850" s="26" t="s">
        <v>1387</v>
      </c>
      <c r="C850" s="24" t="s">
        <v>49</v>
      </c>
      <c r="D850" s="27">
        <v>14</v>
      </c>
      <c r="E850" s="93">
        <f>32.75*(1.184419)</f>
        <v>38.789722250000004</v>
      </c>
      <c r="F850" s="93">
        <f>4.19*(1.184419)</f>
        <v>4.9627156100000009</v>
      </c>
      <c r="G850" s="93">
        <f>0.26*(1.184419)</f>
        <v>0.30794894000000006</v>
      </c>
      <c r="H850" s="104">
        <f t="shared" si="40"/>
        <v>44.060386800000011</v>
      </c>
      <c r="I850" s="105">
        <f t="shared" si="41"/>
        <v>616.84541520000016</v>
      </c>
    </row>
    <row r="851" spans="1:9" ht="42" thickBot="1" x14ac:dyDescent="0.35">
      <c r="A851" s="23" t="s">
        <v>1388</v>
      </c>
      <c r="B851" s="26" t="s">
        <v>1389</v>
      </c>
      <c r="C851" s="24" t="s">
        <v>49</v>
      </c>
      <c r="D851" s="27">
        <v>13</v>
      </c>
      <c r="E851" s="93">
        <f>111.39*(1.184419)</f>
        <v>131.93243241000002</v>
      </c>
      <c r="F851" s="93">
        <f>7.12*(1.184419)</f>
        <v>8.4330632800000007</v>
      </c>
      <c r="G851" s="93">
        <f>0.42*(1.184419)</f>
        <v>0.49745598000000002</v>
      </c>
      <c r="H851" s="104">
        <f t="shared" si="40"/>
        <v>140.86295167000003</v>
      </c>
      <c r="I851" s="105">
        <f t="shared" si="41"/>
        <v>1831.2183717100004</v>
      </c>
    </row>
    <row r="852" spans="1:9" ht="42" thickBot="1" x14ac:dyDescent="0.35">
      <c r="A852" s="23" t="s">
        <v>1390</v>
      </c>
      <c r="B852" s="26" t="s">
        <v>1391</v>
      </c>
      <c r="C852" s="24" t="s">
        <v>49</v>
      </c>
      <c r="D852" s="27">
        <v>1</v>
      </c>
      <c r="E852" s="93">
        <f>52.52*(1.184419)</f>
        <v>62.205685880000011</v>
      </c>
      <c r="F852" s="93">
        <f>3.35*(1.184419)</f>
        <v>3.9678036500000005</v>
      </c>
      <c r="G852" s="93">
        <f>0.2*(1.184419)</f>
        <v>0.23688380000000003</v>
      </c>
      <c r="H852" s="104">
        <f t="shared" si="40"/>
        <v>66.410373330000013</v>
      </c>
      <c r="I852" s="105">
        <f t="shared" si="41"/>
        <v>66.410373330000013</v>
      </c>
    </row>
    <row r="853" spans="1:9" ht="42" thickBot="1" x14ac:dyDescent="0.35">
      <c r="A853" s="23" t="s">
        <v>1392</v>
      </c>
      <c r="B853" s="26" t="s">
        <v>1393</v>
      </c>
      <c r="C853" s="24" t="s">
        <v>49</v>
      </c>
      <c r="D853" s="27">
        <v>1</v>
      </c>
      <c r="E853" s="93">
        <f>74.19*(1.184419)</f>
        <v>87.872045610000001</v>
      </c>
      <c r="F853" s="93">
        <f>5.44*(1.184419)</f>
        <v>6.4432393600000006</v>
      </c>
      <c r="G853" s="93">
        <f>0.32*(1.184419)</f>
        <v>0.37901408000000003</v>
      </c>
      <c r="H853" s="104">
        <f t="shared" si="40"/>
        <v>94.694299050000012</v>
      </c>
      <c r="I853" s="105">
        <f t="shared" si="41"/>
        <v>94.694299050000012</v>
      </c>
    </row>
    <row r="854" spans="1:9" ht="42" thickBot="1" x14ac:dyDescent="0.35">
      <c r="A854" s="23" t="s">
        <v>1394</v>
      </c>
      <c r="B854" s="26" t="s">
        <v>1395</v>
      </c>
      <c r="C854" s="24" t="s">
        <v>49</v>
      </c>
      <c r="D854" s="27">
        <v>2</v>
      </c>
      <c r="E854" s="93">
        <f>78.98*(1.184419)</f>
        <v>93.545412620000008</v>
      </c>
      <c r="F854" s="93">
        <f>5.44*(1.184419)</f>
        <v>6.4432393600000006</v>
      </c>
      <c r="G854" s="93">
        <f>0.32*(1.184419)</f>
        <v>0.37901408000000003</v>
      </c>
      <c r="H854" s="104">
        <f t="shared" si="40"/>
        <v>100.36766606000002</v>
      </c>
      <c r="I854" s="105">
        <f t="shared" si="41"/>
        <v>200.73533212000004</v>
      </c>
    </row>
    <row r="855" spans="1:9" ht="42" thickBot="1" x14ac:dyDescent="0.35">
      <c r="A855" s="23" t="s">
        <v>1396</v>
      </c>
      <c r="B855" s="26" t="s">
        <v>1397</v>
      </c>
      <c r="C855" s="24" t="s">
        <v>49</v>
      </c>
      <c r="D855" s="27">
        <v>1</v>
      </c>
      <c r="E855" s="93">
        <f>203.74*(1.184419)</f>
        <v>241.31352706000004</v>
      </c>
      <c r="F855" s="93">
        <f>9.64*(1.184419)</f>
        <v>11.417799160000001</v>
      </c>
      <c r="G855" s="93">
        <f>0.58*(1.184419)</f>
        <v>0.68696301999999998</v>
      </c>
      <c r="H855" s="104">
        <f t="shared" si="40"/>
        <v>253.41828924000004</v>
      </c>
      <c r="I855" s="105">
        <f t="shared" si="41"/>
        <v>253.41828924000004</v>
      </c>
    </row>
    <row r="856" spans="1:9" ht="42" thickBot="1" x14ac:dyDescent="0.35">
      <c r="A856" s="23" t="s">
        <v>1398</v>
      </c>
      <c r="B856" s="26" t="s">
        <v>1399</v>
      </c>
      <c r="C856" s="24" t="s">
        <v>49</v>
      </c>
      <c r="D856" s="27">
        <v>4</v>
      </c>
      <c r="E856" s="93">
        <f>238.25*(1.184419)</f>
        <v>282.18782675</v>
      </c>
      <c r="F856" s="93">
        <f>9.64*(1.184419)</f>
        <v>11.417799160000001</v>
      </c>
      <c r="G856" s="93">
        <f>0.58*(1.184419)</f>
        <v>0.68696301999999998</v>
      </c>
      <c r="H856" s="104">
        <f t="shared" si="40"/>
        <v>294.29258893000002</v>
      </c>
      <c r="I856" s="105">
        <f t="shared" si="41"/>
        <v>1177.1703557200001</v>
      </c>
    </row>
    <row r="857" spans="1:9" ht="42" thickBot="1" x14ac:dyDescent="0.35">
      <c r="A857" s="23" t="s">
        <v>1400</v>
      </c>
      <c r="B857" s="26" t="s">
        <v>1401</v>
      </c>
      <c r="C857" s="24" t="s">
        <v>49</v>
      </c>
      <c r="D857" s="27">
        <v>2</v>
      </c>
      <c r="E857" s="93">
        <f>44.39*(1.184419)</f>
        <v>52.576359410000009</v>
      </c>
      <c r="F857" s="93">
        <f>3.35*(1.184419)</f>
        <v>3.9678036500000005</v>
      </c>
      <c r="G857" s="93">
        <f>0.2*(1.184419)</f>
        <v>0.23688380000000003</v>
      </c>
      <c r="H857" s="104">
        <f t="shared" si="40"/>
        <v>56.781046860000011</v>
      </c>
      <c r="I857" s="105">
        <f t="shared" si="41"/>
        <v>113.56209372000002</v>
      </c>
    </row>
    <row r="858" spans="1:9" ht="42" thickBot="1" x14ac:dyDescent="0.35">
      <c r="A858" s="23" t="s">
        <v>1402</v>
      </c>
      <c r="B858" s="26" t="s">
        <v>1403</v>
      </c>
      <c r="C858" s="24" t="s">
        <v>49</v>
      </c>
      <c r="D858" s="27">
        <v>6</v>
      </c>
      <c r="E858" s="93">
        <f>71.85*(1.184419)</f>
        <v>85.100505150000004</v>
      </c>
      <c r="F858" s="93">
        <f>5.44*(1.184419)</f>
        <v>6.4432393600000006</v>
      </c>
      <c r="G858" s="93">
        <f>0.32*(1.184419)</f>
        <v>0.37901408000000003</v>
      </c>
      <c r="H858" s="104">
        <f t="shared" si="40"/>
        <v>91.922758590000015</v>
      </c>
      <c r="I858" s="105">
        <f t="shared" si="41"/>
        <v>551.53655154000012</v>
      </c>
    </row>
    <row r="859" spans="1:9" ht="42" thickBot="1" x14ac:dyDescent="0.35">
      <c r="A859" s="23" t="s">
        <v>1404</v>
      </c>
      <c r="B859" s="26" t="s">
        <v>1405</v>
      </c>
      <c r="C859" s="24" t="s">
        <v>49</v>
      </c>
      <c r="D859" s="27">
        <v>7</v>
      </c>
      <c r="E859" s="93">
        <f>18.56*(1.184419)</f>
        <v>21.982816639999999</v>
      </c>
      <c r="F859" s="93">
        <f>1.67*(1.184419)</f>
        <v>1.9779797300000002</v>
      </c>
      <c r="G859" s="93">
        <f>0.1*(1.184419)</f>
        <v>0.11844190000000002</v>
      </c>
      <c r="H859" s="104">
        <f t="shared" si="40"/>
        <v>24.079238270000001</v>
      </c>
      <c r="I859" s="105">
        <f t="shared" si="41"/>
        <v>168.55466789000002</v>
      </c>
    </row>
    <row r="860" spans="1:9" ht="42" thickBot="1" x14ac:dyDescent="0.35">
      <c r="A860" s="23" t="s">
        <v>1406</v>
      </c>
      <c r="B860" s="26" t="s">
        <v>1407</v>
      </c>
      <c r="C860" s="24" t="s">
        <v>49</v>
      </c>
      <c r="D860" s="27">
        <v>52</v>
      </c>
      <c r="E860" s="93">
        <f>22.68*(1.184419)</f>
        <v>26.862622920000003</v>
      </c>
      <c r="F860" s="93">
        <f>2.93*(1.184419)</f>
        <v>3.4703476700000007</v>
      </c>
      <c r="G860" s="93">
        <f>0.18*(1.184419)</f>
        <v>0.21319542000000002</v>
      </c>
      <c r="H860" s="104">
        <f t="shared" si="40"/>
        <v>30.546166010000004</v>
      </c>
      <c r="I860" s="105">
        <f t="shared" si="41"/>
        <v>1588.4006325200003</v>
      </c>
    </row>
    <row r="861" spans="1:9" ht="42" thickBot="1" x14ac:dyDescent="0.35">
      <c r="A861" s="23" t="s">
        <v>1408</v>
      </c>
      <c r="B861" s="26" t="s">
        <v>1409</v>
      </c>
      <c r="C861" s="24" t="s">
        <v>49</v>
      </c>
      <c r="D861" s="27">
        <v>44</v>
      </c>
      <c r="E861" s="93">
        <f>51.28*(1.184419)</f>
        <v>60.737006320000006</v>
      </c>
      <c r="F861" s="93">
        <f>9.21*(1.184419)</f>
        <v>10.908498990000002</v>
      </c>
      <c r="G861" s="93">
        <f>0.56*(1.184419)</f>
        <v>0.66327464000000014</v>
      </c>
      <c r="H861" s="104">
        <f t="shared" si="40"/>
        <v>72.308779950000002</v>
      </c>
      <c r="I861" s="105">
        <f t="shared" si="41"/>
        <v>3181.5863178</v>
      </c>
    </row>
    <row r="862" spans="1:9" ht="42" thickBot="1" x14ac:dyDescent="0.35">
      <c r="A862" s="23" t="s">
        <v>1410</v>
      </c>
      <c r="B862" s="26" t="s">
        <v>1411</v>
      </c>
      <c r="C862" s="24" t="s">
        <v>49</v>
      </c>
      <c r="D862" s="27">
        <v>6</v>
      </c>
      <c r="E862" s="93">
        <f>27.08*(1.184419)</f>
        <v>32.074066520000002</v>
      </c>
      <c r="F862" s="93">
        <f>2.93*(1.184419)</f>
        <v>3.4703476700000007</v>
      </c>
      <c r="G862" s="93">
        <f>0.18*(1.184419)</f>
        <v>0.21319542000000002</v>
      </c>
      <c r="H862" s="104">
        <f t="shared" si="40"/>
        <v>35.757609610000003</v>
      </c>
      <c r="I862" s="105">
        <f t="shared" si="41"/>
        <v>214.54565766000002</v>
      </c>
    </row>
    <row r="863" spans="1:9" ht="42" thickBot="1" x14ac:dyDescent="0.35">
      <c r="A863" s="23" t="s">
        <v>1412</v>
      </c>
      <c r="B863" s="26" t="s">
        <v>1413</v>
      </c>
      <c r="C863" s="24" t="s">
        <v>49</v>
      </c>
      <c r="D863" s="27">
        <v>18</v>
      </c>
      <c r="E863" s="93">
        <f>76.51*(1.184419)</f>
        <v>90.619897690000016</v>
      </c>
      <c r="F863" s="93">
        <f>4.6*(1.184419)</f>
        <v>5.4483274000000002</v>
      </c>
      <c r="G863" s="93">
        <f>0.28*(1.184419)</f>
        <v>0.33163732000000007</v>
      </c>
      <c r="H863" s="104">
        <f t="shared" si="40"/>
        <v>96.399862410000011</v>
      </c>
      <c r="I863" s="105">
        <f t="shared" si="41"/>
        <v>1735.1975233800001</v>
      </c>
    </row>
    <row r="864" spans="1:9" ht="42" thickBot="1" x14ac:dyDescent="0.35">
      <c r="A864" s="23" t="s">
        <v>1414</v>
      </c>
      <c r="B864" s="31" t="s">
        <v>1413</v>
      </c>
      <c r="C864" s="24" t="s">
        <v>49</v>
      </c>
      <c r="D864" s="27">
        <v>7</v>
      </c>
      <c r="E864" s="93">
        <f>76.51*(1.184419)</f>
        <v>90.619897690000016</v>
      </c>
      <c r="F864" s="93">
        <f>4.6*(1.184419)</f>
        <v>5.4483274000000002</v>
      </c>
      <c r="G864" s="93">
        <f>0.28*(1.184419)</f>
        <v>0.33163732000000007</v>
      </c>
      <c r="H864" s="104">
        <f t="shared" si="40"/>
        <v>96.399862410000011</v>
      </c>
      <c r="I864" s="105">
        <f t="shared" si="41"/>
        <v>674.79903687000012</v>
      </c>
    </row>
    <row r="865" spans="1:9" ht="15" thickBot="1" x14ac:dyDescent="0.35">
      <c r="A865" s="23" t="s">
        <v>1415</v>
      </c>
      <c r="B865" s="26" t="s">
        <v>1416</v>
      </c>
      <c r="C865" s="24" t="s">
        <v>49</v>
      </c>
      <c r="D865" s="27">
        <v>4</v>
      </c>
      <c r="E865" s="93">
        <f>86.21*(1.184419)</f>
        <v>102.10876199</v>
      </c>
      <c r="F865" s="93">
        <f>4.84*(1.184419)</f>
        <v>5.73258796</v>
      </c>
      <c r="G865" s="93">
        <f>0.01*(1.184419)</f>
        <v>1.1844190000000001E-2</v>
      </c>
      <c r="H865" s="104">
        <f t="shared" si="40"/>
        <v>107.85319414000001</v>
      </c>
      <c r="I865" s="105">
        <f t="shared" si="41"/>
        <v>431.41277656000005</v>
      </c>
    </row>
    <row r="866" spans="1:9" ht="15" thickBot="1" x14ac:dyDescent="0.35">
      <c r="A866" s="30"/>
      <c r="B866" s="26"/>
      <c r="C866" s="26"/>
      <c r="D866" s="26"/>
      <c r="E866" s="93"/>
      <c r="F866" s="93"/>
      <c r="G866" s="93"/>
      <c r="H866" s="104"/>
      <c r="I866" s="105"/>
    </row>
    <row r="867" spans="1:9" ht="15" thickBot="1" x14ac:dyDescent="0.35">
      <c r="A867" s="40" t="s">
        <v>1417</v>
      </c>
      <c r="B867" s="41" t="s">
        <v>1418</v>
      </c>
      <c r="C867" s="26"/>
      <c r="D867" s="26"/>
      <c r="E867" s="93"/>
      <c r="F867" s="93"/>
      <c r="G867" s="93"/>
      <c r="H867" s="104"/>
      <c r="I867" s="119">
        <f>SUM(I868:I874)</f>
        <v>36876.423641590009</v>
      </c>
    </row>
    <row r="868" spans="1:9" ht="42" thickBot="1" x14ac:dyDescent="0.35">
      <c r="A868" s="23" t="s">
        <v>1419</v>
      </c>
      <c r="B868" s="26" t="s">
        <v>1420</v>
      </c>
      <c r="C868" s="24" t="s">
        <v>135</v>
      </c>
      <c r="D868" s="27">
        <v>3</v>
      </c>
      <c r="E868" s="93">
        <f>145.42*(1.184419)</f>
        <v>172.23821097999999</v>
      </c>
      <c r="F868" s="93">
        <f>4.45*(1.184419)</f>
        <v>5.2706645500000011</v>
      </c>
      <c r="G868" s="93">
        <f>0.26*(1.184419)</f>
        <v>0.30794894000000006</v>
      </c>
      <c r="H868" s="104">
        <f t="shared" si="40"/>
        <v>177.81682446999997</v>
      </c>
      <c r="I868" s="105">
        <f t="shared" si="41"/>
        <v>533.45047340999986</v>
      </c>
    </row>
    <row r="869" spans="1:9" ht="42" thickBot="1" x14ac:dyDescent="0.35">
      <c r="A869" s="23" t="s">
        <v>1421</v>
      </c>
      <c r="B869" s="26" t="s">
        <v>1422</v>
      </c>
      <c r="C869" s="24" t="s">
        <v>135</v>
      </c>
      <c r="D869" s="27">
        <v>27</v>
      </c>
      <c r="E869" s="93">
        <f>247.42*(1.184419)</f>
        <v>293.04894898000003</v>
      </c>
      <c r="F869" s="93">
        <f>6.36*(1.184419)</f>
        <v>7.5329048400000014</v>
      </c>
      <c r="G869" s="93">
        <f>0.36*(1.184419)</f>
        <v>0.42639084000000005</v>
      </c>
      <c r="H869" s="104">
        <f t="shared" si="40"/>
        <v>301.00824466000006</v>
      </c>
      <c r="I869" s="105">
        <f t="shared" si="41"/>
        <v>8127.2226058200013</v>
      </c>
    </row>
    <row r="870" spans="1:9" ht="42" thickBot="1" x14ac:dyDescent="0.35">
      <c r="A870" s="23" t="s">
        <v>1423</v>
      </c>
      <c r="B870" s="26" t="s">
        <v>1424</v>
      </c>
      <c r="C870" s="24" t="s">
        <v>135</v>
      </c>
      <c r="D870" s="27">
        <v>16</v>
      </c>
      <c r="E870" s="93">
        <f>398.46*(1.184419)</f>
        <v>471.94359474000004</v>
      </c>
      <c r="F870" s="93">
        <f>6.94*(1.184419)</f>
        <v>8.2198678600000008</v>
      </c>
      <c r="G870" s="93">
        <f>0.39*(1.184419)</f>
        <v>0.46192341000000003</v>
      </c>
      <c r="H870" s="104">
        <f t="shared" si="40"/>
        <v>480.62538601000006</v>
      </c>
      <c r="I870" s="105">
        <f t="shared" si="41"/>
        <v>7690.0061761600009</v>
      </c>
    </row>
    <row r="871" spans="1:9" ht="15" thickBot="1" x14ac:dyDescent="0.35">
      <c r="A871" s="23" t="s">
        <v>1425</v>
      </c>
      <c r="B871" s="31" t="s">
        <v>1426</v>
      </c>
      <c r="C871" s="24" t="s">
        <v>49</v>
      </c>
      <c r="D871" s="32">
        <v>7</v>
      </c>
      <c r="E871" s="93">
        <f>165.56*(1.184419)</f>
        <v>196.09240964000003</v>
      </c>
      <c r="F871" s="93">
        <f>35.8*(1.184419)</f>
        <v>42.402200200000003</v>
      </c>
      <c r="G871" s="93">
        <f>2.16*(1.184419)</f>
        <v>2.5583450400000003</v>
      </c>
      <c r="H871" s="104">
        <f t="shared" si="40"/>
        <v>241.05295488000004</v>
      </c>
      <c r="I871" s="105">
        <f t="shared" si="41"/>
        <v>1687.3706841600003</v>
      </c>
    </row>
    <row r="872" spans="1:9" ht="15" thickBot="1" x14ac:dyDescent="0.35">
      <c r="A872" s="23" t="s">
        <v>1427</v>
      </c>
      <c r="B872" s="31" t="s">
        <v>1428</v>
      </c>
      <c r="C872" s="24" t="s">
        <v>49</v>
      </c>
      <c r="D872" s="32">
        <v>32</v>
      </c>
      <c r="E872" s="93">
        <f>235.69*(1.184419)</f>
        <v>279.15571411000002</v>
      </c>
      <c r="F872" s="93">
        <f>35.8*(1.184419)</f>
        <v>42.402200200000003</v>
      </c>
      <c r="G872" s="93">
        <f>2.16*(1.184419)</f>
        <v>2.5583450400000003</v>
      </c>
      <c r="H872" s="104">
        <f t="shared" si="40"/>
        <v>324.11625935000001</v>
      </c>
      <c r="I872" s="105">
        <f t="shared" si="41"/>
        <v>10371.7202992</v>
      </c>
    </row>
    <row r="873" spans="1:9" ht="15" thickBot="1" x14ac:dyDescent="0.35">
      <c r="A873" s="23" t="s">
        <v>1429</v>
      </c>
      <c r="B873" s="31" t="s">
        <v>1430</v>
      </c>
      <c r="C873" s="24" t="s">
        <v>49</v>
      </c>
      <c r="D873" s="32">
        <v>19</v>
      </c>
      <c r="E873" s="93">
        <f>330.46*(1.184419)</f>
        <v>391.40310274000001</v>
      </c>
      <c r="F873" s="93">
        <f>35.8*(1.184419)</f>
        <v>42.402200200000003</v>
      </c>
      <c r="G873" s="93">
        <f>2.16*(1.184419)</f>
        <v>2.5583450400000003</v>
      </c>
      <c r="H873" s="104">
        <f t="shared" si="40"/>
        <v>436.36364798</v>
      </c>
      <c r="I873" s="105">
        <f t="shared" si="41"/>
        <v>8290.9093116200002</v>
      </c>
    </row>
    <row r="874" spans="1:9" ht="28.2" thickBot="1" x14ac:dyDescent="0.35">
      <c r="A874" s="23" t="s">
        <v>1431</v>
      </c>
      <c r="B874" s="31" t="s">
        <v>1432</v>
      </c>
      <c r="C874" s="24" t="s">
        <v>49</v>
      </c>
      <c r="D874" s="32">
        <v>2</v>
      </c>
      <c r="E874" s="93">
        <f>69.31*(1.184419)</f>
        <v>82.092080890000005</v>
      </c>
      <c r="F874" s="93">
        <f>4.6*(1.184419)</f>
        <v>5.4483274000000002</v>
      </c>
      <c r="G874" s="93">
        <f>0.28*(1.184419)</f>
        <v>0.33163732000000007</v>
      </c>
      <c r="H874" s="104">
        <f t="shared" si="40"/>
        <v>87.872045610000001</v>
      </c>
      <c r="I874" s="105">
        <f t="shared" si="41"/>
        <v>175.74409122</v>
      </c>
    </row>
    <row r="875" spans="1:9" ht="15" thickBot="1" x14ac:dyDescent="0.35">
      <c r="A875" s="30"/>
      <c r="B875" s="26"/>
      <c r="C875" s="26"/>
      <c r="D875" s="31"/>
      <c r="E875" s="93"/>
      <c r="F875" s="93"/>
      <c r="G875" s="93"/>
      <c r="H875" s="104"/>
      <c r="I875" s="105"/>
    </row>
    <row r="876" spans="1:9" ht="15" thickBot="1" x14ac:dyDescent="0.35">
      <c r="A876" s="40" t="s">
        <v>1433</v>
      </c>
      <c r="B876" s="41" t="s">
        <v>1434</v>
      </c>
      <c r="C876" s="26"/>
      <c r="D876" s="31"/>
      <c r="E876" s="93"/>
      <c r="F876" s="93"/>
      <c r="G876" s="93"/>
      <c r="H876" s="104"/>
      <c r="I876" s="119">
        <f>I877+I878</f>
        <v>4003.6441689400003</v>
      </c>
    </row>
    <row r="877" spans="1:9" ht="15" thickBot="1" x14ac:dyDescent="0.35">
      <c r="A877" s="23" t="s">
        <v>1435</v>
      </c>
      <c r="B877" s="26" t="s">
        <v>1436</v>
      </c>
      <c r="C877" s="24" t="s">
        <v>49</v>
      </c>
      <c r="D877" s="27">
        <v>6</v>
      </c>
      <c r="E877" s="93">
        <f>130.67*(1.184419)</f>
        <v>154.76803072999999</v>
      </c>
      <c r="F877" s="93">
        <f>28.06*(1.184419)</f>
        <v>33.234797140000005</v>
      </c>
      <c r="G877" s="93">
        <f>1.68*(1.184419)</f>
        <v>1.9898239200000001</v>
      </c>
      <c r="H877" s="104">
        <f t="shared" si="40"/>
        <v>189.99265179</v>
      </c>
      <c r="I877" s="105">
        <f t="shared" si="41"/>
        <v>1139.95591074</v>
      </c>
    </row>
    <row r="878" spans="1:9" ht="15" thickBot="1" x14ac:dyDescent="0.35">
      <c r="A878" s="23" t="s">
        <v>1437</v>
      </c>
      <c r="B878" s="26" t="s">
        <v>1438</v>
      </c>
      <c r="C878" s="24" t="s">
        <v>49</v>
      </c>
      <c r="D878" s="27">
        <v>7</v>
      </c>
      <c r="E878" s="93">
        <f>304.19*(1.184419)</f>
        <v>360.28841561000002</v>
      </c>
      <c r="F878" s="93">
        <f>38.87*(1.184419)</f>
        <v>46.038366530000005</v>
      </c>
      <c r="G878" s="93">
        <f>2.34*(1.184419)</f>
        <v>2.7715404600000002</v>
      </c>
      <c r="H878" s="104">
        <f t="shared" si="40"/>
        <v>409.09832260000002</v>
      </c>
      <c r="I878" s="105">
        <f t="shared" si="41"/>
        <v>2863.6882582000003</v>
      </c>
    </row>
    <row r="879" spans="1:9" ht="15" thickBot="1" x14ac:dyDescent="0.35">
      <c r="A879" s="30"/>
      <c r="B879" s="26"/>
      <c r="C879" s="26"/>
      <c r="D879" s="26"/>
      <c r="E879" s="93"/>
      <c r="F879" s="93"/>
      <c r="G879" s="93"/>
      <c r="H879" s="104"/>
      <c r="I879" s="105"/>
    </row>
    <row r="880" spans="1:9" ht="15" thickBot="1" x14ac:dyDescent="0.35">
      <c r="A880" s="40" t="s">
        <v>1439</v>
      </c>
      <c r="B880" s="41" t="s">
        <v>1440</v>
      </c>
      <c r="C880" s="26"/>
      <c r="D880" s="26"/>
      <c r="E880" s="93"/>
      <c r="F880" s="93"/>
      <c r="G880" s="93"/>
      <c r="H880" s="104"/>
      <c r="I880" s="119">
        <f>SUM(I881:I888)</f>
        <v>13129.142484720003</v>
      </c>
    </row>
    <row r="881" spans="1:9" ht="28.2" thickBot="1" x14ac:dyDescent="0.35">
      <c r="A881" s="23" t="s">
        <v>1441</v>
      </c>
      <c r="B881" s="26" t="s">
        <v>1442</v>
      </c>
      <c r="C881" s="24" t="s">
        <v>135</v>
      </c>
      <c r="D881" s="27">
        <v>17</v>
      </c>
      <c r="E881" s="93">
        <f>244.16*(1.184419)</f>
        <v>289.18774304000004</v>
      </c>
      <c r="F881" s="93">
        <f>17.67*(1.184419)</f>
        <v>20.928683730000003</v>
      </c>
      <c r="G881" s="93">
        <f>1.06*(1.184419)</f>
        <v>1.2554841400000001</v>
      </c>
      <c r="H881" s="104">
        <f t="shared" si="40"/>
        <v>311.37191091000005</v>
      </c>
      <c r="I881" s="105">
        <f t="shared" si="41"/>
        <v>5293.3224854700011</v>
      </c>
    </row>
    <row r="882" spans="1:9" ht="28.2" thickBot="1" x14ac:dyDescent="0.35">
      <c r="A882" s="23" t="s">
        <v>1443</v>
      </c>
      <c r="B882" s="26" t="s">
        <v>1444</v>
      </c>
      <c r="C882" s="24" t="s">
        <v>49</v>
      </c>
      <c r="D882" s="27">
        <v>1</v>
      </c>
      <c r="E882" s="93">
        <f>193.58*(1.184419)</f>
        <v>229.27983002000005</v>
      </c>
      <c r="F882" s="93">
        <f>27.31*(1.184419)</f>
        <v>32.346482890000004</v>
      </c>
      <c r="G882" s="93">
        <f>1.64*(1.184419)</f>
        <v>1.9424471600000002</v>
      </c>
      <c r="H882" s="104">
        <f t="shared" si="40"/>
        <v>263.56876007</v>
      </c>
      <c r="I882" s="105">
        <f t="shared" si="41"/>
        <v>263.56876007</v>
      </c>
    </row>
    <row r="883" spans="1:9" ht="15" thickBot="1" x14ac:dyDescent="0.35">
      <c r="A883" s="23" t="s">
        <v>1445</v>
      </c>
      <c r="B883" s="26" t="s">
        <v>1446</v>
      </c>
      <c r="C883" s="24" t="s">
        <v>49</v>
      </c>
      <c r="D883" s="27">
        <v>1</v>
      </c>
      <c r="E883" s="93">
        <f>606.11*(1.184419)</f>
        <v>717.88820009000005</v>
      </c>
      <c r="F883" s="93">
        <f>16.84*(1.184419)</f>
        <v>19.945615960000001</v>
      </c>
      <c r="G883" s="93">
        <f>1.02*(1.184419)</f>
        <v>1.2081073800000002</v>
      </c>
      <c r="H883" s="104">
        <f t="shared" si="40"/>
        <v>739.04192343000011</v>
      </c>
      <c r="I883" s="105">
        <f t="shared" si="41"/>
        <v>739.04192343000011</v>
      </c>
    </row>
    <row r="884" spans="1:9" ht="15" thickBot="1" x14ac:dyDescent="0.35">
      <c r="A884" s="23" t="s">
        <v>1447</v>
      </c>
      <c r="B884" s="31" t="s">
        <v>1448</v>
      </c>
      <c r="C884" s="24" t="s">
        <v>49</v>
      </c>
      <c r="D884" s="27">
        <v>1</v>
      </c>
      <c r="E884" s="93">
        <f>266.51*(1.184419)</f>
        <v>315.65950769</v>
      </c>
      <c r="F884" s="93">
        <f>131.38*(1.184419)</f>
        <v>155.60896822000001</v>
      </c>
      <c r="G884" s="93">
        <f>11.9*(1.184419)</f>
        <v>14.094586100000003</v>
      </c>
      <c r="H884" s="104">
        <f t="shared" si="40"/>
        <v>485.36306201000002</v>
      </c>
      <c r="I884" s="105">
        <f t="shared" si="41"/>
        <v>485.36306201000002</v>
      </c>
    </row>
    <row r="885" spans="1:9" ht="15" thickBot="1" x14ac:dyDescent="0.35">
      <c r="A885" s="23" t="s">
        <v>1449</v>
      </c>
      <c r="B885" s="26" t="s">
        <v>1450</v>
      </c>
      <c r="C885" s="24" t="s">
        <v>135</v>
      </c>
      <c r="D885" s="27">
        <v>11</v>
      </c>
      <c r="E885" s="93">
        <f>20.46*(1.184419)</f>
        <v>24.233212740000003</v>
      </c>
      <c r="F885" s="93">
        <f>4.87*(1.184419)</f>
        <v>5.7681205300000009</v>
      </c>
      <c r="G885" s="93">
        <f>0.37*(1.184419)</f>
        <v>0.43823503000000003</v>
      </c>
      <c r="H885" s="104">
        <f t="shared" si="40"/>
        <v>30.439568300000005</v>
      </c>
      <c r="I885" s="105">
        <f t="shared" si="41"/>
        <v>334.83525130000004</v>
      </c>
    </row>
    <row r="886" spans="1:9" ht="15" thickBot="1" x14ac:dyDescent="0.35">
      <c r="A886" s="23" t="s">
        <v>1451</v>
      </c>
      <c r="B886" s="26" t="s">
        <v>1452</v>
      </c>
      <c r="C886" s="24" t="s">
        <v>49</v>
      </c>
      <c r="D886" s="27">
        <v>1</v>
      </c>
      <c r="E886" s="93">
        <f>1159.71*(1.184419)</f>
        <v>1373.5825584900001</v>
      </c>
      <c r="F886" s="93">
        <f>29.39*(1.184419)</f>
        <v>34.810074410000006</v>
      </c>
      <c r="G886" s="93">
        <f>1.14*(1.184419)</f>
        <v>1.3502376600000001</v>
      </c>
      <c r="H886" s="104">
        <f t="shared" si="40"/>
        <v>1409.74287056</v>
      </c>
      <c r="I886" s="105">
        <f t="shared" si="41"/>
        <v>1409.74287056</v>
      </c>
    </row>
    <row r="887" spans="1:9" ht="15" thickBot="1" x14ac:dyDescent="0.35">
      <c r="A887" s="23" t="s">
        <v>1453</v>
      </c>
      <c r="B887" s="26" t="s">
        <v>1454</v>
      </c>
      <c r="C887" s="24" t="s">
        <v>49</v>
      </c>
      <c r="D887" s="27">
        <v>1</v>
      </c>
      <c r="E887" s="93">
        <f>688.08*(1.184419)</f>
        <v>814.97502552000014</v>
      </c>
      <c r="F887" s="93">
        <f>61.91*(1.184419)</f>
        <v>73.327380290000008</v>
      </c>
      <c r="G887" s="93">
        <f>5.32*(1.184419)</f>
        <v>6.3011090800000007</v>
      </c>
      <c r="H887" s="104">
        <f t="shared" si="40"/>
        <v>894.60351489000016</v>
      </c>
      <c r="I887" s="105">
        <f t="shared" si="41"/>
        <v>894.60351489000016</v>
      </c>
    </row>
    <row r="888" spans="1:9" ht="28.2" thickBot="1" x14ac:dyDescent="0.35">
      <c r="A888" s="23" t="s">
        <v>1455</v>
      </c>
      <c r="B888" s="31" t="s">
        <v>1456</v>
      </c>
      <c r="C888" s="24" t="s">
        <v>49</v>
      </c>
      <c r="D888" s="27">
        <v>1</v>
      </c>
      <c r="E888" s="93">
        <f>182.91*(1.184419)</f>
        <v>216.64207929000003</v>
      </c>
      <c r="F888" s="93">
        <f>202.96*(1.184419)</f>
        <v>240.38968024000002</v>
      </c>
      <c r="G888" s="93">
        <f>2745.34*(1.184419)</f>
        <v>3251.6328574600007</v>
      </c>
      <c r="H888" s="104">
        <f t="shared" si="40"/>
        <v>3708.6646169900005</v>
      </c>
      <c r="I888" s="105">
        <f t="shared" si="41"/>
        <v>3708.6646169900005</v>
      </c>
    </row>
    <row r="889" spans="1:9" ht="15" thickBot="1" x14ac:dyDescent="0.35">
      <c r="A889" s="30"/>
      <c r="B889" s="26"/>
      <c r="C889" s="26"/>
      <c r="D889" s="26"/>
      <c r="E889" s="93"/>
      <c r="F889" s="93"/>
      <c r="G889" s="93"/>
      <c r="H889" s="104"/>
      <c r="I889" s="105"/>
    </row>
    <row r="890" spans="1:9" ht="15" thickBot="1" x14ac:dyDescent="0.35">
      <c r="A890" s="40" t="s">
        <v>1457</v>
      </c>
      <c r="B890" s="41" t="s">
        <v>1458</v>
      </c>
      <c r="C890" s="26"/>
      <c r="D890" s="26"/>
      <c r="E890" s="93"/>
      <c r="F890" s="93"/>
      <c r="G890" s="93"/>
      <c r="H890" s="104"/>
      <c r="I890" s="119">
        <f>SUM(I891:I898)</f>
        <v>8426.6081964500008</v>
      </c>
    </row>
    <row r="891" spans="1:9" ht="15" thickBot="1" x14ac:dyDescent="0.35">
      <c r="A891" s="23" t="s">
        <v>1459</v>
      </c>
      <c r="B891" s="26" t="s">
        <v>1460</v>
      </c>
      <c r="C891" s="24" t="s">
        <v>49</v>
      </c>
      <c r="D891" s="27">
        <v>4</v>
      </c>
      <c r="E891" s="93">
        <f>8.52*(1.184419)</f>
        <v>10.091249880000001</v>
      </c>
      <c r="F891" s="93">
        <f>2.87*(1.184419)</f>
        <v>3.3992825300000002</v>
      </c>
      <c r="G891" s="93"/>
      <c r="H891" s="104">
        <f t="shared" si="40"/>
        <v>13.490532410000002</v>
      </c>
      <c r="I891" s="105">
        <f t="shared" si="41"/>
        <v>53.962129640000008</v>
      </c>
    </row>
    <row r="892" spans="1:9" ht="15" thickBot="1" x14ac:dyDescent="0.35">
      <c r="A892" s="23" t="s">
        <v>1461</v>
      </c>
      <c r="B892" s="26" t="s">
        <v>1462</v>
      </c>
      <c r="C892" s="24" t="s">
        <v>49</v>
      </c>
      <c r="D892" s="27">
        <v>8</v>
      </c>
      <c r="E892" s="93">
        <f>13.68*(1.184419)</f>
        <v>16.202851920000001</v>
      </c>
      <c r="F892" s="93">
        <f>2.87*(1.184419)</f>
        <v>3.3992825300000002</v>
      </c>
      <c r="G892" s="93"/>
      <c r="H892" s="104">
        <f t="shared" si="40"/>
        <v>19.602134450000001</v>
      </c>
      <c r="I892" s="105">
        <f t="shared" si="41"/>
        <v>156.81707560000001</v>
      </c>
    </row>
    <row r="893" spans="1:9" ht="15" thickBot="1" x14ac:dyDescent="0.35">
      <c r="A893" s="23" t="s">
        <v>1463</v>
      </c>
      <c r="B893" s="26" t="s">
        <v>1464</v>
      </c>
      <c r="C893" s="24" t="s">
        <v>49</v>
      </c>
      <c r="D893" s="27">
        <v>6</v>
      </c>
      <c r="E893" s="93">
        <f>36.48*(1.184419)</f>
        <v>43.207605120000004</v>
      </c>
      <c r="F893" s="93">
        <f>2.87*(1.184419)</f>
        <v>3.3992825300000002</v>
      </c>
      <c r="G893" s="93"/>
      <c r="H893" s="104">
        <f t="shared" si="40"/>
        <v>46.606887650000004</v>
      </c>
      <c r="I893" s="105">
        <f t="shared" si="41"/>
        <v>279.64132590000003</v>
      </c>
    </row>
    <row r="894" spans="1:9" ht="15" thickBot="1" x14ac:dyDescent="0.35">
      <c r="A894" s="23" t="s">
        <v>1465</v>
      </c>
      <c r="B894" s="26" t="s">
        <v>1466</v>
      </c>
      <c r="C894" s="24" t="s">
        <v>49</v>
      </c>
      <c r="D894" s="27">
        <v>7</v>
      </c>
      <c r="E894" s="93">
        <f>86.58*(1.184419)</f>
        <v>102.54699702000001</v>
      </c>
      <c r="F894" s="93">
        <f>31.06*(1.184419)</f>
        <v>36.78805414</v>
      </c>
      <c r="G894" s="93">
        <f>1.87*(1.184419)</f>
        <v>2.2148635300000001</v>
      </c>
      <c r="H894" s="104">
        <f t="shared" si="40"/>
        <v>141.54991469000001</v>
      </c>
      <c r="I894" s="105">
        <f t="shared" si="41"/>
        <v>990.84940283000003</v>
      </c>
    </row>
    <row r="895" spans="1:9" ht="28.2" thickBot="1" x14ac:dyDescent="0.35">
      <c r="A895" s="23" t="s">
        <v>1467</v>
      </c>
      <c r="B895" s="26" t="s">
        <v>1468</v>
      </c>
      <c r="C895" s="24" t="s">
        <v>49</v>
      </c>
      <c r="D895" s="27">
        <v>8</v>
      </c>
      <c r="E895" s="93">
        <f>384.3*(1.184419)</f>
        <v>455.17222170000008</v>
      </c>
      <c r="F895" s="93">
        <f>64.67*(1.184419)</f>
        <v>76.596376730000003</v>
      </c>
      <c r="G895" s="93"/>
      <c r="H895" s="104">
        <f t="shared" si="40"/>
        <v>531.76859843000011</v>
      </c>
      <c r="I895" s="105">
        <f t="shared" si="41"/>
        <v>4254.1487874400009</v>
      </c>
    </row>
    <row r="896" spans="1:9" ht="28.2" thickBot="1" x14ac:dyDescent="0.35">
      <c r="A896" s="23" t="s">
        <v>1469</v>
      </c>
      <c r="B896" s="26" t="s">
        <v>1470</v>
      </c>
      <c r="C896" s="24" t="s">
        <v>49</v>
      </c>
      <c r="D896" s="27">
        <v>1</v>
      </c>
      <c r="E896" s="93">
        <f>684.48*(1.184419)</f>
        <v>810.71111712000015</v>
      </c>
      <c r="F896" s="93">
        <f>64.67*(1.184419)</f>
        <v>76.596376730000003</v>
      </c>
      <c r="G896" s="93"/>
      <c r="H896" s="104">
        <f t="shared" si="40"/>
        <v>887.30749385000013</v>
      </c>
      <c r="I896" s="105">
        <f t="shared" si="41"/>
        <v>887.30749385000013</v>
      </c>
    </row>
    <row r="897" spans="1:9" ht="15" thickBot="1" x14ac:dyDescent="0.35">
      <c r="A897" s="23" t="s">
        <v>1471</v>
      </c>
      <c r="B897" s="31" t="s">
        <v>1472</v>
      </c>
      <c r="C897" s="24" t="s">
        <v>49</v>
      </c>
      <c r="D897" s="32">
        <v>1</v>
      </c>
      <c r="E897" s="93">
        <f>1178.37*(1.184419)</f>
        <v>1395.68381703</v>
      </c>
      <c r="F897" s="93">
        <f>334*(1.184419)</f>
        <v>395.59594600000003</v>
      </c>
      <c r="G897" s="93">
        <f>10.64*(1.184419)</f>
        <v>12.602218160000001</v>
      </c>
      <c r="H897" s="104">
        <f t="shared" si="40"/>
        <v>1803.88198119</v>
      </c>
      <c r="I897" s="105">
        <f t="shared" si="41"/>
        <v>1803.88198119</v>
      </c>
    </row>
    <row r="898" spans="1:9" ht="28.2" thickBot="1" x14ac:dyDescent="0.35">
      <c r="A898" s="23" t="s">
        <v>1473</v>
      </c>
      <c r="B898" s="26" t="s">
        <v>1474</v>
      </c>
      <c r="C898" s="24" t="s">
        <v>135</v>
      </c>
      <c r="D898" s="26"/>
      <c r="E898" s="93">
        <f>237.36*(1.184419)</f>
        <v>281.13369384000003</v>
      </c>
      <c r="F898" s="93">
        <f>2.76*(1.184419)</f>
        <v>3.26899644</v>
      </c>
      <c r="G898" s="93">
        <f>0.27*(1.184419)</f>
        <v>0.31979313000000004</v>
      </c>
      <c r="H898" s="104">
        <f t="shared" si="40"/>
        <v>284.72248341000005</v>
      </c>
      <c r="I898" s="105">
        <f t="shared" si="41"/>
        <v>0</v>
      </c>
    </row>
    <row r="899" spans="1:9" ht="15" thickBot="1" x14ac:dyDescent="0.35">
      <c r="A899" s="30"/>
      <c r="B899" s="26"/>
      <c r="C899" s="26"/>
      <c r="D899" s="26"/>
      <c r="E899" s="93"/>
      <c r="F899" s="93"/>
      <c r="G899" s="93"/>
      <c r="H899" s="104"/>
      <c r="I899" s="105"/>
    </row>
    <row r="900" spans="1:9" ht="15" thickBot="1" x14ac:dyDescent="0.35">
      <c r="A900" s="34" t="s">
        <v>1475</v>
      </c>
      <c r="B900" s="36" t="s">
        <v>1476</v>
      </c>
      <c r="C900" s="35"/>
      <c r="D900" s="35"/>
      <c r="E900" s="35"/>
      <c r="F900" s="35"/>
      <c r="G900" s="35"/>
      <c r="H900" s="35"/>
      <c r="I900" s="117">
        <f>I901+I947+I959+I974+I984+I990</f>
        <v>75418.400969360024</v>
      </c>
    </row>
    <row r="901" spans="1:9" ht="15" thickBot="1" x14ac:dyDescent="0.35">
      <c r="A901" s="40" t="s">
        <v>1477</v>
      </c>
      <c r="B901" s="41" t="s">
        <v>1478</v>
      </c>
      <c r="C901" s="26"/>
      <c r="D901" s="26"/>
      <c r="E901" s="93"/>
      <c r="F901" s="93"/>
      <c r="G901" s="93"/>
      <c r="H901" s="104"/>
      <c r="I901" s="119">
        <f>SUM(I902:I945)</f>
        <v>18512.990114360004</v>
      </c>
    </row>
    <row r="902" spans="1:9" ht="42" thickBot="1" x14ac:dyDescent="0.35">
      <c r="A902" s="23" t="s">
        <v>1479</v>
      </c>
      <c r="B902" s="26" t="s">
        <v>1480</v>
      </c>
      <c r="C902" s="24" t="s">
        <v>135</v>
      </c>
      <c r="D902" s="27">
        <v>149</v>
      </c>
      <c r="E902" s="93">
        <f>6.66*(1.184419)</f>
        <v>7.8882305400000012</v>
      </c>
      <c r="F902" s="93">
        <f>5.57*(1.184419)</f>
        <v>6.5972138300000012</v>
      </c>
      <c r="G902" s="93">
        <f>0.34*(1.184419)</f>
        <v>0.40270246000000004</v>
      </c>
      <c r="H902" s="104">
        <f t="shared" si="40"/>
        <v>14.888146830000004</v>
      </c>
      <c r="I902" s="105">
        <f t="shared" si="41"/>
        <v>2218.3338776700007</v>
      </c>
    </row>
    <row r="903" spans="1:9" ht="42" thickBot="1" x14ac:dyDescent="0.35">
      <c r="A903" s="23" t="s">
        <v>1481</v>
      </c>
      <c r="B903" s="26" t="s">
        <v>1482</v>
      </c>
      <c r="C903" s="24" t="s">
        <v>135</v>
      </c>
      <c r="D903" s="27">
        <v>176</v>
      </c>
      <c r="E903" s="93">
        <f>13.06*(1.184419)</f>
        <v>15.468512140000001</v>
      </c>
      <c r="F903" s="93">
        <f>5.57*(1.184419)</f>
        <v>6.5972138300000012</v>
      </c>
      <c r="G903" s="93">
        <f>0.34*(1.184419)</f>
        <v>0.40270246000000004</v>
      </c>
      <c r="H903" s="104">
        <f t="shared" si="40"/>
        <v>22.468428430000003</v>
      </c>
      <c r="I903" s="105">
        <f t="shared" si="41"/>
        <v>3954.4434036800003</v>
      </c>
    </row>
    <row r="904" spans="1:9" ht="42" thickBot="1" x14ac:dyDescent="0.35">
      <c r="A904" s="23" t="s">
        <v>1483</v>
      </c>
      <c r="B904" s="26" t="s">
        <v>1484</v>
      </c>
      <c r="C904" s="24" t="s">
        <v>135</v>
      </c>
      <c r="D904" s="27">
        <v>33</v>
      </c>
      <c r="E904" s="93">
        <f>18.72*(1.184419)</f>
        <v>22.172323680000002</v>
      </c>
      <c r="F904" s="93">
        <f>7.91*(1.184419)</f>
        <v>9.3687542900000018</v>
      </c>
      <c r="G904" s="93">
        <f>0.48*(1.184419)</f>
        <v>0.56852111999999999</v>
      </c>
      <c r="H904" s="104">
        <f t="shared" ref="H904:H967" si="42">E904+F904+G904</f>
        <v>32.109599090000003</v>
      </c>
      <c r="I904" s="105">
        <f t="shared" ref="I904:I967" si="43">H904*D904</f>
        <v>1059.6167699700002</v>
      </c>
    </row>
    <row r="905" spans="1:9" ht="42" thickBot="1" x14ac:dyDescent="0.35">
      <c r="A905" s="23" t="s">
        <v>1485</v>
      </c>
      <c r="B905" s="26" t="s">
        <v>1486</v>
      </c>
      <c r="C905" s="24" t="s">
        <v>135</v>
      </c>
      <c r="D905" s="27">
        <v>52</v>
      </c>
      <c r="E905" s="93">
        <f>21.13*(1.184419)</f>
        <v>25.026773470000002</v>
      </c>
      <c r="F905" s="93">
        <f>7.91*(1.184419)</f>
        <v>9.3687542900000018</v>
      </c>
      <c r="G905" s="93">
        <f>0.48*(1.184419)</f>
        <v>0.56852111999999999</v>
      </c>
      <c r="H905" s="104">
        <f t="shared" si="42"/>
        <v>34.964048880000007</v>
      </c>
      <c r="I905" s="105">
        <f t="shared" si="43"/>
        <v>1818.1305417600004</v>
      </c>
    </row>
    <row r="906" spans="1:9" ht="42" thickBot="1" x14ac:dyDescent="0.35">
      <c r="A906" s="23" t="s">
        <v>1487</v>
      </c>
      <c r="B906" s="26" t="s">
        <v>1488</v>
      </c>
      <c r="C906" s="24" t="s">
        <v>135</v>
      </c>
      <c r="D906" s="27">
        <v>22</v>
      </c>
      <c r="E906" s="93">
        <f>34.38*(1.184419)</f>
        <v>40.720325220000007</v>
      </c>
      <c r="F906" s="93">
        <f>12.86*(1.184419)</f>
        <v>15.23162834</v>
      </c>
      <c r="G906" s="93">
        <f>0.78*(1.184419)</f>
        <v>0.92384682000000007</v>
      </c>
      <c r="H906" s="104">
        <f t="shared" si="42"/>
        <v>56.875800380000008</v>
      </c>
      <c r="I906" s="105">
        <f t="shared" si="43"/>
        <v>1251.2676083600002</v>
      </c>
    </row>
    <row r="907" spans="1:9" ht="42" thickBot="1" x14ac:dyDescent="0.35">
      <c r="A907" s="23" t="s">
        <v>1489</v>
      </c>
      <c r="B907" s="26" t="s">
        <v>1490</v>
      </c>
      <c r="C907" s="24" t="s">
        <v>135</v>
      </c>
      <c r="D907" s="27">
        <v>1</v>
      </c>
      <c r="E907" s="93">
        <f>67.56*(1.184419)</f>
        <v>80.019347640000007</v>
      </c>
      <c r="F907" s="93">
        <f>22.53*(1.184419)</f>
        <v>26.684960070000002</v>
      </c>
      <c r="G907" s="93">
        <f>1.36*(1.184419)</f>
        <v>1.6108098400000002</v>
      </c>
      <c r="H907" s="104">
        <f t="shared" si="42"/>
        <v>108.31511755000001</v>
      </c>
      <c r="I907" s="105">
        <f t="shared" si="43"/>
        <v>108.31511755000001</v>
      </c>
    </row>
    <row r="908" spans="1:9" ht="28.2" thickBot="1" x14ac:dyDescent="0.35">
      <c r="A908" s="23" t="s">
        <v>1491</v>
      </c>
      <c r="B908" s="26" t="s">
        <v>1492</v>
      </c>
      <c r="C908" s="24" t="s">
        <v>49</v>
      </c>
      <c r="D908" s="27">
        <v>76</v>
      </c>
      <c r="E908" s="93">
        <f>2.9*(1.184419)</f>
        <v>3.4348151000000002</v>
      </c>
      <c r="F908" s="93">
        <f>2.52*(1.184419)</f>
        <v>2.9847358800000001</v>
      </c>
      <c r="G908" s="93">
        <f>0.16*(1.184419)</f>
        <v>0.18950704000000002</v>
      </c>
      <c r="H908" s="104">
        <f t="shared" si="42"/>
        <v>6.60905802</v>
      </c>
      <c r="I908" s="105">
        <f t="shared" si="43"/>
        <v>502.28840952000002</v>
      </c>
    </row>
    <row r="909" spans="1:9" ht="28.2" thickBot="1" x14ac:dyDescent="0.35">
      <c r="A909" s="23" t="s">
        <v>1493</v>
      </c>
      <c r="B909" s="26" t="s">
        <v>1494</v>
      </c>
      <c r="C909" s="24" t="s">
        <v>49</v>
      </c>
      <c r="D909" s="27">
        <v>31</v>
      </c>
      <c r="E909" s="93">
        <f>5.86*(1.184419)</f>
        <v>6.9406953400000013</v>
      </c>
      <c r="F909" s="93">
        <f>4.48*(1.184419)</f>
        <v>5.3061971200000011</v>
      </c>
      <c r="G909" s="93">
        <f>0.26*(1.184419)</f>
        <v>0.30794894000000006</v>
      </c>
      <c r="H909" s="104">
        <f t="shared" si="42"/>
        <v>12.554841400000001</v>
      </c>
      <c r="I909" s="105">
        <f t="shared" si="43"/>
        <v>389.20008340000004</v>
      </c>
    </row>
    <row r="910" spans="1:9" ht="28.2" thickBot="1" x14ac:dyDescent="0.35">
      <c r="A910" s="23" t="s">
        <v>1495</v>
      </c>
      <c r="B910" s="26" t="s">
        <v>1496</v>
      </c>
      <c r="C910" s="24" t="s">
        <v>49</v>
      </c>
      <c r="D910" s="27">
        <v>14</v>
      </c>
      <c r="E910" s="93">
        <f>10.06*(1.184419)</f>
        <v>11.915255140000001</v>
      </c>
      <c r="F910" s="93">
        <f>3.73*(1.184419)</f>
        <v>4.4178828700000006</v>
      </c>
      <c r="G910" s="93">
        <f>0.22*(1.184419)</f>
        <v>0.26057218000000004</v>
      </c>
      <c r="H910" s="104">
        <f t="shared" si="42"/>
        <v>16.593710190000003</v>
      </c>
      <c r="I910" s="105">
        <f t="shared" si="43"/>
        <v>232.31194266000006</v>
      </c>
    </row>
    <row r="911" spans="1:9" ht="28.2" thickBot="1" x14ac:dyDescent="0.35">
      <c r="A911" s="23" t="s">
        <v>1497</v>
      </c>
      <c r="B911" s="26" t="s">
        <v>1498</v>
      </c>
      <c r="C911" s="24" t="s">
        <v>49</v>
      </c>
      <c r="D911" s="27">
        <v>19</v>
      </c>
      <c r="E911" s="93">
        <f>11.98*(1.184419)</f>
        <v>14.189339620000002</v>
      </c>
      <c r="F911" s="93">
        <f>4.53*(1.184419)</f>
        <v>5.3654180700000005</v>
      </c>
      <c r="G911" s="93">
        <f>0.28*(1.184419)</f>
        <v>0.33163732000000007</v>
      </c>
      <c r="H911" s="104">
        <f t="shared" si="42"/>
        <v>19.886395010000001</v>
      </c>
      <c r="I911" s="105">
        <f t="shared" si="43"/>
        <v>377.84150519000002</v>
      </c>
    </row>
    <row r="912" spans="1:9" ht="28.2" thickBot="1" x14ac:dyDescent="0.35">
      <c r="A912" s="23" t="s">
        <v>1499</v>
      </c>
      <c r="B912" s="26" t="s">
        <v>1500</v>
      </c>
      <c r="C912" s="24" t="s">
        <v>49</v>
      </c>
      <c r="D912" s="27">
        <v>14</v>
      </c>
      <c r="E912" s="93">
        <f>38.23*(1.184419)</f>
        <v>45.280338370000003</v>
      </c>
      <c r="F912" s="93">
        <f>5.36*(1.184419)</f>
        <v>6.3484858400000013</v>
      </c>
      <c r="G912" s="93">
        <f>0.32*(1.184419)</f>
        <v>0.37901408000000003</v>
      </c>
      <c r="H912" s="104">
        <f t="shared" si="42"/>
        <v>52.007838290000002</v>
      </c>
      <c r="I912" s="105">
        <f t="shared" si="43"/>
        <v>728.10973606000005</v>
      </c>
    </row>
    <row r="913" spans="1:9" ht="28.2" thickBot="1" x14ac:dyDescent="0.35">
      <c r="A913" s="23" t="s">
        <v>1501</v>
      </c>
      <c r="B913" s="26" t="s">
        <v>1502</v>
      </c>
      <c r="C913" s="24" t="s">
        <v>49</v>
      </c>
      <c r="D913" s="27">
        <v>4</v>
      </c>
      <c r="E913" s="93">
        <f>154.29*(1.184419)</f>
        <v>182.74400751000002</v>
      </c>
      <c r="F913" s="93">
        <f>7.37*(1.184419)</f>
        <v>8.7291680300000003</v>
      </c>
      <c r="G913" s="93">
        <f>0.44*(1.184419)</f>
        <v>0.52114436000000008</v>
      </c>
      <c r="H913" s="104">
        <f t="shared" si="42"/>
        <v>191.99431990000002</v>
      </c>
      <c r="I913" s="105">
        <f t="shared" si="43"/>
        <v>767.97727960000009</v>
      </c>
    </row>
    <row r="914" spans="1:9" ht="42" thickBot="1" x14ac:dyDescent="0.35">
      <c r="A914" s="23" t="s">
        <v>1503</v>
      </c>
      <c r="B914" s="26" t="s">
        <v>1504</v>
      </c>
      <c r="C914" s="24" t="s">
        <v>49</v>
      </c>
      <c r="D914" s="27">
        <v>28</v>
      </c>
      <c r="E914" s="93">
        <f>12.65*(1.184419)</f>
        <v>14.982900350000001</v>
      </c>
      <c r="F914" s="93">
        <f>6.29*(1.184419)</f>
        <v>7.4499955100000008</v>
      </c>
      <c r="G914" s="93">
        <f>0.38*(1.184419)</f>
        <v>0.45007922000000006</v>
      </c>
      <c r="H914" s="104">
        <f t="shared" si="42"/>
        <v>22.882975080000001</v>
      </c>
      <c r="I914" s="105">
        <f t="shared" si="43"/>
        <v>640.72330224000007</v>
      </c>
    </row>
    <row r="915" spans="1:9" ht="28.2" thickBot="1" x14ac:dyDescent="0.35">
      <c r="A915" s="23" t="s">
        <v>1505</v>
      </c>
      <c r="B915" s="26" t="s">
        <v>1506</v>
      </c>
      <c r="C915" s="24" t="s">
        <v>49</v>
      </c>
      <c r="D915" s="27">
        <v>14</v>
      </c>
      <c r="E915" s="93">
        <f>5.1*(1.184419)</f>
        <v>6.0405369000000002</v>
      </c>
      <c r="F915" s="93">
        <f>7.27*(1.184419)</f>
        <v>8.6107261299999998</v>
      </c>
      <c r="G915" s="93">
        <f>0.02*(1.184419)</f>
        <v>2.3688380000000002E-2</v>
      </c>
      <c r="H915" s="104">
        <f t="shared" si="42"/>
        <v>14.674951409999998</v>
      </c>
      <c r="I915" s="105">
        <f t="shared" si="43"/>
        <v>205.44931973999996</v>
      </c>
    </row>
    <row r="916" spans="1:9" ht="28.2" thickBot="1" x14ac:dyDescent="0.35">
      <c r="A916" s="23" t="s">
        <v>1507</v>
      </c>
      <c r="B916" s="26" t="s">
        <v>1508</v>
      </c>
      <c r="C916" s="24" t="s">
        <v>49</v>
      </c>
      <c r="D916" s="27">
        <v>2</v>
      </c>
      <c r="E916" s="93">
        <f>7.16*(1.184419)</f>
        <v>8.4804400400000013</v>
      </c>
      <c r="F916" s="93">
        <f>3.35*(1.184419)</f>
        <v>3.9678036500000005</v>
      </c>
      <c r="G916" s="93">
        <f>0.2*(1.184419)</f>
        <v>0.23688380000000003</v>
      </c>
      <c r="H916" s="104">
        <f t="shared" si="42"/>
        <v>12.685127490000001</v>
      </c>
      <c r="I916" s="105">
        <f t="shared" si="43"/>
        <v>25.370254980000002</v>
      </c>
    </row>
    <row r="917" spans="1:9" ht="28.2" thickBot="1" x14ac:dyDescent="0.35">
      <c r="A917" s="23" t="s">
        <v>1509</v>
      </c>
      <c r="B917" s="26" t="s">
        <v>1510</v>
      </c>
      <c r="C917" s="24" t="s">
        <v>49</v>
      </c>
      <c r="D917" s="27">
        <v>11</v>
      </c>
      <c r="E917" s="93">
        <f>5*(1.184419)</f>
        <v>5.9220950000000006</v>
      </c>
      <c r="F917" s="93">
        <f>5.02*(1.184419)</f>
        <v>5.94578338</v>
      </c>
      <c r="G917" s="93">
        <f>0.3*(1.184419)</f>
        <v>0.35532570000000002</v>
      </c>
      <c r="H917" s="104">
        <f t="shared" si="42"/>
        <v>12.22320408</v>
      </c>
      <c r="I917" s="105">
        <f t="shared" si="43"/>
        <v>134.45524488000001</v>
      </c>
    </row>
    <row r="918" spans="1:9" ht="28.2" thickBot="1" x14ac:dyDescent="0.35">
      <c r="A918" s="23" t="s">
        <v>1511</v>
      </c>
      <c r="B918" s="26" t="s">
        <v>1512</v>
      </c>
      <c r="C918" s="24" t="s">
        <v>49</v>
      </c>
      <c r="D918" s="27">
        <v>3</v>
      </c>
      <c r="E918" s="93">
        <f>9.76*(1.184419)</f>
        <v>11.559929440000001</v>
      </c>
      <c r="F918" s="93">
        <f>5.99*(1.184419)</f>
        <v>7.094669810000001</v>
      </c>
      <c r="G918" s="93">
        <f>0.36*(1.184419)</f>
        <v>0.42639084000000005</v>
      </c>
      <c r="H918" s="104">
        <f t="shared" si="42"/>
        <v>19.080990090000004</v>
      </c>
      <c r="I918" s="105">
        <f t="shared" si="43"/>
        <v>57.242970270000015</v>
      </c>
    </row>
    <row r="919" spans="1:9" ht="28.2" thickBot="1" x14ac:dyDescent="0.35">
      <c r="A919" s="23" t="s">
        <v>1513</v>
      </c>
      <c r="B919" s="26" t="s">
        <v>1514</v>
      </c>
      <c r="C919" s="24" t="s">
        <v>49</v>
      </c>
      <c r="D919" s="27">
        <v>4</v>
      </c>
      <c r="E919" s="93">
        <f>19.96*(1.184419)</f>
        <v>23.641003240000003</v>
      </c>
      <c r="F919" s="93">
        <f>6.03*(1.184419)</f>
        <v>7.1420465700000006</v>
      </c>
      <c r="G919" s="93">
        <f>0.36*(1.184419)</f>
        <v>0.42639084000000005</v>
      </c>
      <c r="H919" s="104">
        <f t="shared" si="42"/>
        <v>31.209440650000005</v>
      </c>
      <c r="I919" s="105">
        <f t="shared" si="43"/>
        <v>124.83776260000002</v>
      </c>
    </row>
    <row r="920" spans="1:9" ht="28.2" thickBot="1" x14ac:dyDescent="0.35">
      <c r="A920" s="23" t="s">
        <v>1515</v>
      </c>
      <c r="B920" s="26" t="s">
        <v>1516</v>
      </c>
      <c r="C920" s="24" t="s">
        <v>49</v>
      </c>
      <c r="D920" s="27">
        <v>4</v>
      </c>
      <c r="E920" s="93">
        <f>48.5*(1.184419)</f>
        <v>57.444321500000008</v>
      </c>
      <c r="F920" s="93">
        <f>7.12*(1.184419)</f>
        <v>8.4330632800000007</v>
      </c>
      <c r="G920" s="93">
        <f>0.42*(1.184419)</f>
        <v>0.49745598000000002</v>
      </c>
      <c r="H920" s="104">
        <f t="shared" si="42"/>
        <v>66.374840760000012</v>
      </c>
      <c r="I920" s="105">
        <f t="shared" si="43"/>
        <v>265.49936304000005</v>
      </c>
    </row>
    <row r="921" spans="1:9" ht="28.2" thickBot="1" x14ac:dyDescent="0.35">
      <c r="A921" s="23" t="s">
        <v>1517</v>
      </c>
      <c r="B921" s="26" t="s">
        <v>1518</v>
      </c>
      <c r="C921" s="24" t="s">
        <v>49</v>
      </c>
      <c r="D921" s="27">
        <v>1</v>
      </c>
      <c r="E921" s="93">
        <f>93.64*(1.184419)</f>
        <v>110.90899516000002</v>
      </c>
      <c r="F921" s="93">
        <f>8.75*(1.184419)</f>
        <v>10.363666250000001</v>
      </c>
      <c r="G921" s="93">
        <f>0.52*(1.184419)</f>
        <v>0.61589788000000012</v>
      </c>
      <c r="H921" s="104">
        <f t="shared" si="42"/>
        <v>121.88855929000002</v>
      </c>
      <c r="I921" s="105">
        <f t="shared" si="43"/>
        <v>121.88855929000002</v>
      </c>
    </row>
    <row r="922" spans="1:9" ht="42" thickBot="1" x14ac:dyDescent="0.35">
      <c r="A922" s="23" t="s">
        <v>1519</v>
      </c>
      <c r="B922" s="26" t="s">
        <v>1520</v>
      </c>
      <c r="C922" s="24" t="s">
        <v>49</v>
      </c>
      <c r="D922" s="27">
        <v>10</v>
      </c>
      <c r="E922" s="93">
        <f>20.98*(1.184419)</f>
        <v>24.849110620000001</v>
      </c>
      <c r="F922" s="93">
        <f>9.51*(1.184419)</f>
        <v>11.263824690000002</v>
      </c>
      <c r="G922" s="93">
        <f>0.58*(1.184419)</f>
        <v>0.68696301999999998</v>
      </c>
      <c r="H922" s="104">
        <f t="shared" si="42"/>
        <v>36.799898330000005</v>
      </c>
      <c r="I922" s="105">
        <f t="shared" si="43"/>
        <v>367.99898330000008</v>
      </c>
    </row>
    <row r="923" spans="1:9" ht="28.2" thickBot="1" x14ac:dyDescent="0.35">
      <c r="A923" s="23" t="s">
        <v>1521</v>
      </c>
      <c r="B923" s="26" t="s">
        <v>1522</v>
      </c>
      <c r="C923" s="24" t="s">
        <v>49</v>
      </c>
      <c r="D923" s="27">
        <v>2</v>
      </c>
      <c r="E923" s="93">
        <f>17.92*(1.184419)</f>
        <v>21.224788480000004</v>
      </c>
      <c r="F923" s="93">
        <f>4.99*(1.184419)</f>
        <v>5.9102508100000009</v>
      </c>
      <c r="G923" s="93">
        <f>0.3*(1.184419)</f>
        <v>0.35532570000000002</v>
      </c>
      <c r="H923" s="104">
        <f t="shared" si="42"/>
        <v>27.490364990000007</v>
      </c>
      <c r="I923" s="105">
        <f t="shared" si="43"/>
        <v>54.980729980000014</v>
      </c>
    </row>
    <row r="924" spans="1:9" ht="28.2" thickBot="1" x14ac:dyDescent="0.35">
      <c r="A924" s="23" t="s">
        <v>1523</v>
      </c>
      <c r="B924" s="26" t="s">
        <v>1524</v>
      </c>
      <c r="C924" s="24" t="s">
        <v>49</v>
      </c>
      <c r="D924" s="27">
        <v>3</v>
      </c>
      <c r="E924" s="93">
        <f>18.41*(1.184419)</f>
        <v>21.805153790000002</v>
      </c>
      <c r="F924" s="93">
        <f>6.03*(1.184419)</f>
        <v>7.1420465700000006</v>
      </c>
      <c r="G924" s="93">
        <f>0.36*(1.184419)</f>
        <v>0.42639084000000005</v>
      </c>
      <c r="H924" s="104">
        <f t="shared" si="42"/>
        <v>29.373591200000003</v>
      </c>
      <c r="I924" s="105">
        <f t="shared" si="43"/>
        <v>88.120773600000007</v>
      </c>
    </row>
    <row r="925" spans="1:9" ht="28.2" thickBot="1" x14ac:dyDescent="0.35">
      <c r="A925" s="23" t="s">
        <v>1525</v>
      </c>
      <c r="B925" s="31" t="s">
        <v>1526</v>
      </c>
      <c r="C925" s="24" t="s">
        <v>49</v>
      </c>
      <c r="D925" s="27">
        <v>1</v>
      </c>
      <c r="E925" s="93">
        <f>40.16*(1.184419)</f>
        <v>47.56626704</v>
      </c>
      <c r="F925" s="93">
        <f>6.03*(1.184419)</f>
        <v>7.1420465700000006</v>
      </c>
      <c r="G925" s="93">
        <f>0.36*(1.184419)</f>
        <v>0.42639084000000005</v>
      </c>
      <c r="H925" s="104">
        <f t="shared" si="42"/>
        <v>55.134704450000001</v>
      </c>
      <c r="I925" s="105">
        <f t="shared" si="43"/>
        <v>55.134704450000001</v>
      </c>
    </row>
    <row r="926" spans="1:9" ht="28.2" thickBot="1" x14ac:dyDescent="0.35">
      <c r="A926" s="23" t="s">
        <v>1527</v>
      </c>
      <c r="B926" s="31" t="s">
        <v>1528</v>
      </c>
      <c r="C926" s="24" t="s">
        <v>49</v>
      </c>
      <c r="D926" s="27">
        <v>1</v>
      </c>
      <c r="E926" s="93">
        <f>30.26*(1.184419)</f>
        <v>35.840518940000003</v>
      </c>
      <c r="F926" s="93">
        <f>6.03*(1.184419)</f>
        <v>7.1420465700000006</v>
      </c>
      <c r="G926" s="93">
        <f>0.36*(1.184419)</f>
        <v>0.42639084000000005</v>
      </c>
      <c r="H926" s="104">
        <f t="shared" si="42"/>
        <v>43.408956350000004</v>
      </c>
      <c r="I926" s="105">
        <f t="shared" si="43"/>
        <v>43.408956350000004</v>
      </c>
    </row>
    <row r="927" spans="1:9" ht="15" thickBot="1" x14ac:dyDescent="0.35">
      <c r="A927" s="23" t="s">
        <v>1529</v>
      </c>
      <c r="B927" s="31" t="s">
        <v>1530</v>
      </c>
      <c r="C927" s="24" t="s">
        <v>49</v>
      </c>
      <c r="D927" s="27">
        <v>1</v>
      </c>
      <c r="E927" s="93">
        <f>62.75*(1.184419)</f>
        <v>74.322292250000004</v>
      </c>
      <c r="F927" s="93">
        <f>21.78*(1.184419)</f>
        <v>25.796645820000006</v>
      </c>
      <c r="G927" s="93">
        <f>1.32*(1.184419)</f>
        <v>1.5634330800000003</v>
      </c>
      <c r="H927" s="104">
        <f t="shared" si="42"/>
        <v>101.68237115000001</v>
      </c>
      <c r="I927" s="105">
        <f t="shared" si="43"/>
        <v>101.68237115000001</v>
      </c>
    </row>
    <row r="928" spans="1:9" ht="42" thickBot="1" x14ac:dyDescent="0.35">
      <c r="A928" s="23" t="s">
        <v>1531</v>
      </c>
      <c r="B928" s="31" t="s">
        <v>1532</v>
      </c>
      <c r="C928" s="24" t="s">
        <v>49</v>
      </c>
      <c r="D928" s="27">
        <v>32</v>
      </c>
      <c r="E928" s="93">
        <f>3.12*(1.184419)</f>
        <v>3.6953872800000003</v>
      </c>
      <c r="F928" s="93">
        <f>2.52*(1.184419)</f>
        <v>2.9847358800000001</v>
      </c>
      <c r="G928" s="93">
        <f>0.16*(1.184419)</f>
        <v>0.18950704000000002</v>
      </c>
      <c r="H928" s="104">
        <f t="shared" si="42"/>
        <v>6.8696302000000005</v>
      </c>
      <c r="I928" s="105">
        <f t="shared" si="43"/>
        <v>219.82816640000001</v>
      </c>
    </row>
    <row r="929" spans="1:9" ht="42" thickBot="1" x14ac:dyDescent="0.35">
      <c r="A929" s="23" t="s">
        <v>1533</v>
      </c>
      <c r="B929" s="26" t="s">
        <v>1534</v>
      </c>
      <c r="C929" s="24" t="s">
        <v>49</v>
      </c>
      <c r="D929" s="27">
        <v>7</v>
      </c>
      <c r="E929" s="93">
        <f>5.54*(1.184419)</f>
        <v>6.5616812600000003</v>
      </c>
      <c r="F929" s="93">
        <f>4.99*(1.184419)</f>
        <v>5.9102508100000009</v>
      </c>
      <c r="G929" s="93">
        <f>0.3*(1.184419)</f>
        <v>0.35532570000000002</v>
      </c>
      <c r="H929" s="104">
        <f t="shared" si="42"/>
        <v>12.827257770000001</v>
      </c>
      <c r="I929" s="105">
        <f t="shared" si="43"/>
        <v>89.790804390000005</v>
      </c>
    </row>
    <row r="930" spans="1:9" ht="42" thickBot="1" x14ac:dyDescent="0.35">
      <c r="A930" s="23" t="s">
        <v>1535</v>
      </c>
      <c r="B930" s="26" t="s">
        <v>1536</v>
      </c>
      <c r="C930" s="24" t="s">
        <v>49</v>
      </c>
      <c r="D930" s="27">
        <v>4</v>
      </c>
      <c r="E930" s="93">
        <f>12.19*(1.184419)</f>
        <v>14.438067610000001</v>
      </c>
      <c r="F930" s="93">
        <f>2.47*(1.184419)</f>
        <v>2.9255149300000003</v>
      </c>
      <c r="G930" s="93">
        <f>0.14*(1.184419)</f>
        <v>0.16581866000000003</v>
      </c>
      <c r="H930" s="104">
        <f t="shared" si="42"/>
        <v>17.529401200000002</v>
      </c>
      <c r="I930" s="105">
        <f t="shared" si="43"/>
        <v>70.117604800000009</v>
      </c>
    </row>
    <row r="931" spans="1:9" ht="42" thickBot="1" x14ac:dyDescent="0.35">
      <c r="A931" s="23" t="s">
        <v>1537</v>
      </c>
      <c r="B931" s="26" t="s">
        <v>1538</v>
      </c>
      <c r="C931" s="24" t="s">
        <v>49</v>
      </c>
      <c r="D931" s="27">
        <v>13</v>
      </c>
      <c r="E931" s="93">
        <f>10.01*(1.184419)</f>
        <v>11.856034190000001</v>
      </c>
      <c r="F931" s="93">
        <f>3.01*(1.184419)</f>
        <v>3.56510119</v>
      </c>
      <c r="G931" s="93">
        <f>0.18*(1.184419)</f>
        <v>0.21319542000000002</v>
      </c>
      <c r="H931" s="104">
        <f t="shared" si="42"/>
        <v>15.634330800000001</v>
      </c>
      <c r="I931" s="105">
        <f t="shared" si="43"/>
        <v>203.2463004</v>
      </c>
    </row>
    <row r="932" spans="1:9" ht="55.8" thickBot="1" x14ac:dyDescent="0.35">
      <c r="A932" s="23" t="s">
        <v>1539</v>
      </c>
      <c r="B932" s="26" t="s">
        <v>1540</v>
      </c>
      <c r="C932" s="24" t="s">
        <v>49</v>
      </c>
      <c r="D932" s="27">
        <v>4</v>
      </c>
      <c r="E932" s="93">
        <f>25.43*(1.184419)</f>
        <v>30.119775170000004</v>
      </c>
      <c r="F932" s="93">
        <f>7.7*(1.184419)</f>
        <v>9.120026300000001</v>
      </c>
      <c r="G932" s="93">
        <f>0.46*(1.184419)</f>
        <v>0.54483274000000004</v>
      </c>
      <c r="H932" s="104">
        <f t="shared" si="42"/>
        <v>39.78463421</v>
      </c>
      <c r="I932" s="105">
        <f t="shared" si="43"/>
        <v>159.13853684</v>
      </c>
    </row>
    <row r="933" spans="1:9" ht="55.8" thickBot="1" x14ac:dyDescent="0.35">
      <c r="A933" s="23" t="s">
        <v>1541</v>
      </c>
      <c r="B933" s="26" t="s">
        <v>1542</v>
      </c>
      <c r="C933" s="24" t="s">
        <v>49</v>
      </c>
      <c r="D933" s="27">
        <v>2</v>
      </c>
      <c r="E933" s="93">
        <f>30.84*(1.184419)</f>
        <v>36.527481960000003</v>
      </c>
      <c r="F933" s="93">
        <f>9.67*(1.184419)</f>
        <v>11.45333173</v>
      </c>
      <c r="G933" s="93">
        <f>0.58*(1.184419)</f>
        <v>0.68696301999999998</v>
      </c>
      <c r="H933" s="104">
        <f t="shared" si="42"/>
        <v>48.667776710000005</v>
      </c>
      <c r="I933" s="105">
        <f t="shared" si="43"/>
        <v>97.335553420000011</v>
      </c>
    </row>
    <row r="934" spans="1:9" ht="55.8" thickBot="1" x14ac:dyDescent="0.35">
      <c r="A934" s="23" t="s">
        <v>1543</v>
      </c>
      <c r="B934" s="26" t="s">
        <v>1544</v>
      </c>
      <c r="C934" s="24" t="s">
        <v>49</v>
      </c>
      <c r="D934" s="27">
        <v>4</v>
      </c>
      <c r="E934" s="93">
        <f>43.3*(1.184419)</f>
        <v>51.285342700000001</v>
      </c>
      <c r="F934" s="93">
        <f>9.67*(1.184419)</f>
        <v>11.45333173</v>
      </c>
      <c r="G934" s="93">
        <f>0.58*(1.184419)</f>
        <v>0.68696301999999998</v>
      </c>
      <c r="H934" s="104">
        <f t="shared" si="42"/>
        <v>63.425637450000004</v>
      </c>
      <c r="I934" s="105">
        <f t="shared" si="43"/>
        <v>253.70254980000001</v>
      </c>
    </row>
    <row r="935" spans="1:9" ht="55.8" thickBot="1" x14ac:dyDescent="0.35">
      <c r="A935" s="23" t="s">
        <v>1545</v>
      </c>
      <c r="B935" s="26" t="s">
        <v>1546</v>
      </c>
      <c r="C935" s="24" t="s">
        <v>49</v>
      </c>
      <c r="D935" s="27">
        <v>2</v>
      </c>
      <c r="E935" s="93">
        <f>57.02*(1.184419)</f>
        <v>67.535571380000007</v>
      </c>
      <c r="F935" s="93">
        <f>12.9*(1.184419)</f>
        <v>15.279005100000003</v>
      </c>
      <c r="G935" s="93">
        <f>0.78*(1.184419)</f>
        <v>0.92384682000000007</v>
      </c>
      <c r="H935" s="104">
        <f t="shared" si="42"/>
        <v>83.738423300000008</v>
      </c>
      <c r="I935" s="105">
        <f t="shared" si="43"/>
        <v>167.47684660000002</v>
      </c>
    </row>
    <row r="936" spans="1:9" ht="55.8" thickBot="1" x14ac:dyDescent="0.35">
      <c r="A936" s="23" t="s">
        <v>1547</v>
      </c>
      <c r="B936" s="26" t="s">
        <v>1548</v>
      </c>
      <c r="C936" s="24" t="s">
        <v>49</v>
      </c>
      <c r="D936" s="27">
        <v>2</v>
      </c>
      <c r="E936" s="93">
        <f>88.34*(1.184419)</f>
        <v>104.63157446000001</v>
      </c>
      <c r="F936" s="93">
        <f>12.9*(1.184419)</f>
        <v>15.279005100000003</v>
      </c>
      <c r="G936" s="93">
        <f>0.78*(1.184419)</f>
        <v>0.92384682000000007</v>
      </c>
      <c r="H936" s="104">
        <f t="shared" si="42"/>
        <v>120.83442638000001</v>
      </c>
      <c r="I936" s="105">
        <f t="shared" si="43"/>
        <v>241.66885276000002</v>
      </c>
    </row>
    <row r="937" spans="1:9" ht="55.8" thickBot="1" x14ac:dyDescent="0.35">
      <c r="A937" s="23" t="s">
        <v>1549</v>
      </c>
      <c r="B937" s="26" t="s">
        <v>1550</v>
      </c>
      <c r="C937" s="24" t="s">
        <v>49</v>
      </c>
      <c r="D937" s="27">
        <v>2</v>
      </c>
      <c r="E937" s="93">
        <f>355.65*(1.184419)</f>
        <v>421.23861735000003</v>
      </c>
      <c r="F937" s="93">
        <f>12.9*(1.184419)</f>
        <v>15.279005100000003</v>
      </c>
      <c r="G937" s="93">
        <f>0.78*(1.184419)</f>
        <v>0.92384682000000007</v>
      </c>
      <c r="H937" s="104">
        <f t="shared" si="42"/>
        <v>437.44146927000003</v>
      </c>
      <c r="I937" s="105">
        <f t="shared" si="43"/>
        <v>874.88293854000005</v>
      </c>
    </row>
    <row r="938" spans="1:9" ht="42" thickBot="1" x14ac:dyDescent="0.35">
      <c r="A938" s="23" t="s">
        <v>1551</v>
      </c>
      <c r="B938" s="26" t="s">
        <v>1552</v>
      </c>
      <c r="C938" s="24" t="s">
        <v>49</v>
      </c>
      <c r="D938" s="27">
        <v>3</v>
      </c>
      <c r="E938" s="93">
        <f>4.63*(1.184419)</f>
        <v>5.4838599700000001</v>
      </c>
      <c r="F938" s="93">
        <f>4.19*(1.184419)</f>
        <v>4.9627156100000009</v>
      </c>
      <c r="G938" s="93">
        <f>0.26*(1.184419)</f>
        <v>0.30794894000000006</v>
      </c>
      <c r="H938" s="104">
        <f t="shared" si="42"/>
        <v>10.75452452</v>
      </c>
      <c r="I938" s="105">
        <f t="shared" si="43"/>
        <v>32.263573559999998</v>
      </c>
    </row>
    <row r="939" spans="1:9" ht="28.2" thickBot="1" x14ac:dyDescent="0.35">
      <c r="A939" s="23" t="s">
        <v>1553</v>
      </c>
      <c r="B939" s="26" t="s">
        <v>1554</v>
      </c>
      <c r="C939" s="24" t="s">
        <v>49</v>
      </c>
      <c r="D939" s="27">
        <v>7</v>
      </c>
      <c r="E939" s="93">
        <f>4.72*(1.184419)</f>
        <v>5.5904576800000001</v>
      </c>
      <c r="F939" s="93">
        <f>1.88*(1.184419)</f>
        <v>2.2267077200000003</v>
      </c>
      <c r="G939" s="93">
        <f>0.12*(1.184419)</f>
        <v>0.14213028</v>
      </c>
      <c r="H939" s="104">
        <f t="shared" si="42"/>
        <v>7.9592956800000003</v>
      </c>
      <c r="I939" s="105">
        <f t="shared" si="43"/>
        <v>55.715069760000006</v>
      </c>
    </row>
    <row r="940" spans="1:9" ht="42" thickBot="1" x14ac:dyDescent="0.35">
      <c r="A940" s="23" t="s">
        <v>1555</v>
      </c>
      <c r="B940" s="26" t="s">
        <v>1556</v>
      </c>
      <c r="C940" s="24" t="s">
        <v>135</v>
      </c>
      <c r="D940" s="27">
        <v>3</v>
      </c>
      <c r="E940" s="93">
        <f>1.18*(1.184419)</f>
        <v>1.39761442</v>
      </c>
      <c r="F940" s="93">
        <f>4.45*(1.184419)</f>
        <v>5.2706645500000011</v>
      </c>
      <c r="G940" s="93">
        <f>0.26*(1.184419)</f>
        <v>0.30794894000000006</v>
      </c>
      <c r="H940" s="104">
        <f t="shared" si="42"/>
        <v>6.9762279100000013</v>
      </c>
      <c r="I940" s="105">
        <f t="shared" si="43"/>
        <v>20.928683730000003</v>
      </c>
    </row>
    <row r="941" spans="1:9" ht="28.2" thickBot="1" x14ac:dyDescent="0.35">
      <c r="A941" s="23" t="s">
        <v>1557</v>
      </c>
      <c r="B941" s="26" t="s">
        <v>1558</v>
      </c>
      <c r="C941" s="24" t="s">
        <v>49</v>
      </c>
      <c r="D941" s="27">
        <v>1</v>
      </c>
      <c r="E941" s="93">
        <f>9.13*(1.184419)</f>
        <v>10.813745470000002</v>
      </c>
      <c r="F941" s="93">
        <f>8.88*(1.184419)</f>
        <v>10.517640720000001</v>
      </c>
      <c r="G941" s="93">
        <f>0.03*(1.184419)</f>
        <v>3.5532569999999999E-2</v>
      </c>
      <c r="H941" s="104">
        <f t="shared" si="42"/>
        <v>21.366918760000004</v>
      </c>
      <c r="I941" s="105">
        <f t="shared" si="43"/>
        <v>21.366918760000004</v>
      </c>
    </row>
    <row r="942" spans="1:9" ht="28.2" thickBot="1" x14ac:dyDescent="0.35">
      <c r="A942" s="23" t="s">
        <v>1559</v>
      </c>
      <c r="B942" s="26" t="s">
        <v>1560</v>
      </c>
      <c r="C942" s="24" t="s">
        <v>49</v>
      </c>
      <c r="D942" s="27">
        <v>2</v>
      </c>
      <c r="E942" s="93">
        <f>12.63*(1.184419)</f>
        <v>14.959211970000002</v>
      </c>
      <c r="F942" s="93">
        <f>10.1*(1.184419)</f>
        <v>11.9626319</v>
      </c>
      <c r="G942" s="93">
        <f>0.03*(1.184419)</f>
        <v>3.5532569999999999E-2</v>
      </c>
      <c r="H942" s="104">
        <f t="shared" si="42"/>
        <v>26.957376440000004</v>
      </c>
      <c r="I942" s="105">
        <f t="shared" si="43"/>
        <v>53.914752880000009</v>
      </c>
    </row>
    <row r="943" spans="1:9" ht="28.2" thickBot="1" x14ac:dyDescent="0.35">
      <c r="A943" s="23" t="s">
        <v>1561</v>
      </c>
      <c r="B943" s="26" t="s">
        <v>1562</v>
      </c>
      <c r="C943" s="24" t="s">
        <v>49</v>
      </c>
      <c r="D943" s="27">
        <v>1</v>
      </c>
      <c r="E943" s="93">
        <f>22.87*(1.184419)</f>
        <v>27.087662530000003</v>
      </c>
      <c r="F943" s="93">
        <f>11.31*(1.184419)</f>
        <v>13.395778890000003</v>
      </c>
      <c r="G943" s="93">
        <f>0.03*(1.184419)</f>
        <v>3.5532569999999999E-2</v>
      </c>
      <c r="H943" s="104">
        <f t="shared" si="42"/>
        <v>40.518973990000006</v>
      </c>
      <c r="I943" s="105">
        <f t="shared" si="43"/>
        <v>40.518973990000006</v>
      </c>
    </row>
    <row r="944" spans="1:9" ht="28.2" thickBot="1" x14ac:dyDescent="0.35">
      <c r="A944" s="23" t="s">
        <v>1563</v>
      </c>
      <c r="B944" s="26" t="s">
        <v>1564</v>
      </c>
      <c r="C944" s="24" t="s">
        <v>49</v>
      </c>
      <c r="D944" s="27">
        <v>2</v>
      </c>
      <c r="E944" s="93">
        <f>40.58*(1.184419)</f>
        <v>48.063723020000005</v>
      </c>
      <c r="F944" s="93">
        <f>2.47*(1.184419)</f>
        <v>2.9255149300000003</v>
      </c>
      <c r="G944" s="93">
        <f>0.14*(1.184419)</f>
        <v>0.16581866000000003</v>
      </c>
      <c r="H944" s="104">
        <f t="shared" si="42"/>
        <v>51.155056610000003</v>
      </c>
      <c r="I944" s="105">
        <f t="shared" si="43"/>
        <v>102.31011322000001</v>
      </c>
    </row>
    <row r="945" spans="1:9" ht="28.2" thickBot="1" x14ac:dyDescent="0.35">
      <c r="A945" s="23" t="s">
        <v>1565</v>
      </c>
      <c r="B945" s="26" t="s">
        <v>1566</v>
      </c>
      <c r="C945" s="24" t="s">
        <v>49</v>
      </c>
      <c r="D945" s="27">
        <v>2</v>
      </c>
      <c r="E945" s="93">
        <f>45*(1.184419)</f>
        <v>53.298855000000003</v>
      </c>
      <c r="F945" s="93">
        <f>3.01*(1.184419)</f>
        <v>3.56510119</v>
      </c>
      <c r="G945" s="93">
        <f>0.18*(1.184419)</f>
        <v>0.21319542000000002</v>
      </c>
      <c r="H945" s="104">
        <f t="shared" si="42"/>
        <v>57.077151610000001</v>
      </c>
      <c r="I945" s="105">
        <f t="shared" si="43"/>
        <v>114.15430322</v>
      </c>
    </row>
    <row r="946" spans="1:9" ht="15" thickBot="1" x14ac:dyDescent="0.35">
      <c r="A946" s="30"/>
      <c r="B946" s="26"/>
      <c r="C946" s="26"/>
      <c r="D946" s="26"/>
      <c r="E946" s="93"/>
      <c r="F946" s="93"/>
      <c r="G946" s="93"/>
      <c r="H946" s="104"/>
      <c r="I946" s="105"/>
    </row>
    <row r="947" spans="1:9" ht="15" thickBot="1" x14ac:dyDescent="0.35">
      <c r="A947" s="40" t="s">
        <v>1567</v>
      </c>
      <c r="B947" s="41" t="s">
        <v>1568</v>
      </c>
      <c r="C947" s="26"/>
      <c r="D947" s="26"/>
      <c r="E947" s="93"/>
      <c r="F947" s="93"/>
      <c r="G947" s="93"/>
      <c r="H947" s="104"/>
      <c r="I947" s="119">
        <f>SUM(I948:I957)</f>
        <v>12499.517188510003</v>
      </c>
    </row>
    <row r="948" spans="1:9" ht="42" thickBot="1" x14ac:dyDescent="0.35">
      <c r="A948" s="23" t="s">
        <v>1569</v>
      </c>
      <c r="B948" s="26" t="s">
        <v>1570</v>
      </c>
      <c r="C948" s="24" t="s">
        <v>135</v>
      </c>
      <c r="D948" s="27">
        <v>50</v>
      </c>
      <c r="E948" s="93">
        <f>116.27*(1.184419)</f>
        <v>137.71239713</v>
      </c>
      <c r="F948" s="93">
        <f>2.38*(1.184419)</f>
        <v>2.8189172200000003</v>
      </c>
      <c r="G948" s="93">
        <f>0.14*(1.184419)</f>
        <v>0.16581866000000003</v>
      </c>
      <c r="H948" s="104">
        <f t="shared" si="42"/>
        <v>140.69713301000002</v>
      </c>
      <c r="I948" s="105">
        <f t="shared" si="43"/>
        <v>7034.8566505000008</v>
      </c>
    </row>
    <row r="949" spans="1:9" ht="42" thickBot="1" x14ac:dyDescent="0.35">
      <c r="A949" s="23" t="s">
        <v>1571</v>
      </c>
      <c r="B949" s="26" t="s">
        <v>1572</v>
      </c>
      <c r="C949" s="24" t="s">
        <v>135</v>
      </c>
      <c r="D949" s="27">
        <v>10</v>
      </c>
      <c r="E949" s="93">
        <f>175.45*(1.184419)</f>
        <v>207.80631355</v>
      </c>
      <c r="F949" s="93">
        <f>2.99*(1.184419)</f>
        <v>3.5414128100000006</v>
      </c>
      <c r="G949" s="93">
        <f>0.18*(1.184419)</f>
        <v>0.21319542000000002</v>
      </c>
      <c r="H949" s="104">
        <f t="shared" si="42"/>
        <v>211.56092178</v>
      </c>
      <c r="I949" s="105">
        <f t="shared" si="43"/>
        <v>2115.6092177999999</v>
      </c>
    </row>
    <row r="950" spans="1:9" ht="42" thickBot="1" x14ac:dyDescent="0.35">
      <c r="A950" s="23" t="s">
        <v>1573</v>
      </c>
      <c r="B950" s="26" t="s">
        <v>1574</v>
      </c>
      <c r="C950" s="24" t="s">
        <v>49</v>
      </c>
      <c r="D950" s="27">
        <v>22</v>
      </c>
      <c r="E950" s="93">
        <f>26.78*(1.184419)</f>
        <v>31.718740820000004</v>
      </c>
      <c r="F950" s="93">
        <f>4.81*(1.184419)</f>
        <v>5.6970553900000001</v>
      </c>
      <c r="G950" s="93">
        <f>0.28*(1.184419)</f>
        <v>0.33163732000000007</v>
      </c>
      <c r="H950" s="104">
        <f t="shared" si="42"/>
        <v>37.747433530000002</v>
      </c>
      <c r="I950" s="105">
        <f t="shared" si="43"/>
        <v>830.44353766000006</v>
      </c>
    </row>
    <row r="951" spans="1:9" ht="42" thickBot="1" x14ac:dyDescent="0.35">
      <c r="A951" s="23" t="s">
        <v>1575</v>
      </c>
      <c r="B951" s="26" t="s">
        <v>1576</v>
      </c>
      <c r="C951" s="24" t="s">
        <v>49</v>
      </c>
      <c r="D951" s="27">
        <v>10</v>
      </c>
      <c r="E951" s="93">
        <f>50.17*(1.184419)</f>
        <v>59.422301230000009</v>
      </c>
      <c r="F951" s="93">
        <f>6.06*(1.184419)</f>
        <v>7.1775791400000006</v>
      </c>
      <c r="G951" s="93">
        <f>0.36*(1.184419)</f>
        <v>0.42639084000000005</v>
      </c>
      <c r="H951" s="104">
        <f t="shared" si="42"/>
        <v>67.026271210000004</v>
      </c>
      <c r="I951" s="105">
        <f t="shared" si="43"/>
        <v>670.26271210000004</v>
      </c>
    </row>
    <row r="952" spans="1:9" ht="42" thickBot="1" x14ac:dyDescent="0.35">
      <c r="A952" s="23" t="s">
        <v>1577</v>
      </c>
      <c r="B952" s="26" t="s">
        <v>1578</v>
      </c>
      <c r="C952" s="24" t="s">
        <v>49</v>
      </c>
      <c r="D952" s="27">
        <v>2</v>
      </c>
      <c r="E952" s="93">
        <f>60.22*(1.184419)</f>
        <v>71.325712180000011</v>
      </c>
      <c r="F952" s="93">
        <f>6.06*(1.184419)</f>
        <v>7.1775791400000006</v>
      </c>
      <c r="G952" s="93">
        <f>0.36*(1.184419)</f>
        <v>0.42639084000000005</v>
      </c>
      <c r="H952" s="104">
        <f t="shared" si="42"/>
        <v>78.929682160000013</v>
      </c>
      <c r="I952" s="105">
        <f t="shared" si="43"/>
        <v>157.85936432000003</v>
      </c>
    </row>
    <row r="953" spans="1:9" ht="28.2" thickBot="1" x14ac:dyDescent="0.35">
      <c r="A953" s="23" t="s">
        <v>1579</v>
      </c>
      <c r="B953" s="31" t="s">
        <v>1580</v>
      </c>
      <c r="C953" s="24" t="s">
        <v>49</v>
      </c>
      <c r="D953" s="27">
        <v>1</v>
      </c>
      <c r="E953" s="93">
        <f>89.28*(1.184419)</f>
        <v>105.74492832000001</v>
      </c>
      <c r="F953" s="93">
        <f>8.97*(1.184419)</f>
        <v>10.624238430000002</v>
      </c>
      <c r="G953" s="93">
        <f>0.54*(1.184419)</f>
        <v>0.63958626000000007</v>
      </c>
      <c r="H953" s="104">
        <f t="shared" si="42"/>
        <v>117.00875301000002</v>
      </c>
      <c r="I953" s="105">
        <f t="shared" si="43"/>
        <v>117.00875301000002</v>
      </c>
    </row>
    <row r="954" spans="1:9" ht="28.2" thickBot="1" x14ac:dyDescent="0.35">
      <c r="A954" s="23" t="s">
        <v>1581</v>
      </c>
      <c r="B954" s="26" t="s">
        <v>1582</v>
      </c>
      <c r="C954" s="24" t="s">
        <v>49</v>
      </c>
      <c r="D954" s="27">
        <v>2</v>
      </c>
      <c r="E954" s="93">
        <f>76.36*(1.184419)</f>
        <v>90.442234840000012</v>
      </c>
      <c r="F954" s="93">
        <f>10.91*(1.184419)</f>
        <v>12.922011290000002</v>
      </c>
      <c r="G954" s="93">
        <f>0.03*(1.184419)</f>
        <v>3.5532569999999999E-2</v>
      </c>
      <c r="H954" s="104">
        <f t="shared" si="42"/>
        <v>103.39977870000001</v>
      </c>
      <c r="I954" s="105">
        <f t="shared" si="43"/>
        <v>206.79955740000003</v>
      </c>
    </row>
    <row r="955" spans="1:9" ht="28.2" thickBot="1" x14ac:dyDescent="0.35">
      <c r="A955" s="23" t="s">
        <v>1583</v>
      </c>
      <c r="B955" s="26" t="s">
        <v>1584</v>
      </c>
      <c r="C955" s="24" t="s">
        <v>49</v>
      </c>
      <c r="D955" s="27">
        <v>2</v>
      </c>
      <c r="E955" s="93">
        <f>114.43*(1.184419)</f>
        <v>135.53306617000001</v>
      </c>
      <c r="F955" s="93">
        <f>12.12*(1.184419)</f>
        <v>14.355158280000001</v>
      </c>
      <c r="G955" s="93">
        <f>0.03*(1.184419)</f>
        <v>3.5532569999999999E-2</v>
      </c>
      <c r="H955" s="104">
        <f t="shared" si="42"/>
        <v>149.92375702000001</v>
      </c>
      <c r="I955" s="105">
        <f t="shared" si="43"/>
        <v>299.84751404000002</v>
      </c>
    </row>
    <row r="956" spans="1:9" ht="15" thickBot="1" x14ac:dyDescent="0.35">
      <c r="A956" s="23" t="s">
        <v>1585</v>
      </c>
      <c r="B956" s="26" t="s">
        <v>1586</v>
      </c>
      <c r="C956" s="24" t="s">
        <v>49</v>
      </c>
      <c r="D956" s="27">
        <v>9</v>
      </c>
      <c r="E956" s="93">
        <f>34.16*(1.184419)</f>
        <v>40.459753040000002</v>
      </c>
      <c r="F956" s="93">
        <f>11.71*(1.184419)</f>
        <v>13.869546490000003</v>
      </c>
      <c r="G956" s="93">
        <f>0.03*(1.184419)</f>
        <v>3.5532569999999999E-2</v>
      </c>
      <c r="H956" s="104">
        <f t="shared" si="42"/>
        <v>54.364832100000008</v>
      </c>
      <c r="I956" s="105">
        <f t="shared" si="43"/>
        <v>489.28348890000007</v>
      </c>
    </row>
    <row r="957" spans="1:9" ht="28.2" thickBot="1" x14ac:dyDescent="0.35">
      <c r="A957" s="23" t="s">
        <v>1587</v>
      </c>
      <c r="B957" s="31" t="s">
        <v>1588</v>
      </c>
      <c r="C957" s="24" t="s">
        <v>49</v>
      </c>
      <c r="D957" s="27">
        <v>9</v>
      </c>
      <c r="E957" s="93">
        <f>42.44*(1.184419)</f>
        <v>50.266742360000002</v>
      </c>
      <c r="F957" s="93">
        <f>11.71*(1.184419)</f>
        <v>13.869546490000003</v>
      </c>
      <c r="G957" s="93">
        <f>0.03*(1.184419)</f>
        <v>3.5532569999999999E-2</v>
      </c>
      <c r="H957" s="104">
        <f t="shared" si="42"/>
        <v>64.171821420000001</v>
      </c>
      <c r="I957" s="105">
        <f t="shared" si="43"/>
        <v>577.54639278000002</v>
      </c>
    </row>
    <row r="958" spans="1:9" ht="15" thickBot="1" x14ac:dyDescent="0.35">
      <c r="A958" s="30"/>
      <c r="B958" s="26"/>
      <c r="C958" s="26"/>
      <c r="D958" s="26"/>
      <c r="E958" s="93"/>
      <c r="F958" s="93"/>
      <c r="G958" s="93"/>
      <c r="H958" s="104"/>
      <c r="I958" s="105"/>
    </row>
    <row r="959" spans="1:9" ht="15" thickBot="1" x14ac:dyDescent="0.35">
      <c r="A959" s="40" t="s">
        <v>1589</v>
      </c>
      <c r="B959" s="41" t="s">
        <v>1590</v>
      </c>
      <c r="C959" s="26"/>
      <c r="D959" s="26"/>
      <c r="E959" s="93"/>
      <c r="F959" s="93"/>
      <c r="G959" s="93"/>
      <c r="H959" s="104"/>
      <c r="I959" s="119">
        <f>SUM(I960:I972)</f>
        <v>6167.1039143399994</v>
      </c>
    </row>
    <row r="960" spans="1:9" ht="42" thickBot="1" x14ac:dyDescent="0.35">
      <c r="A960" s="23" t="s">
        <v>1591</v>
      </c>
      <c r="B960" s="26" t="s">
        <v>1592</v>
      </c>
      <c r="C960" s="24" t="s">
        <v>49</v>
      </c>
      <c r="D960" s="27">
        <v>1</v>
      </c>
      <c r="E960" s="93">
        <f>251.8*(1.184419)</f>
        <v>298.23670420000002</v>
      </c>
      <c r="F960" s="93">
        <f>137.41*(1.184419)</f>
        <v>162.75101479</v>
      </c>
      <c r="G960" s="93">
        <f>8.26*(1.184419)</f>
        <v>9.7833009400000002</v>
      </c>
      <c r="H960" s="104">
        <f t="shared" si="42"/>
        <v>470.77101993000002</v>
      </c>
      <c r="I960" s="105">
        <f t="shared" si="43"/>
        <v>470.77101993000002</v>
      </c>
    </row>
    <row r="961" spans="1:9" ht="28.2" thickBot="1" x14ac:dyDescent="0.35">
      <c r="A961" s="23" t="s">
        <v>1593</v>
      </c>
      <c r="B961" s="26" t="s">
        <v>514</v>
      </c>
      <c r="C961" s="24" t="s">
        <v>49</v>
      </c>
      <c r="D961" s="27">
        <v>13</v>
      </c>
      <c r="E961" s="93">
        <f>51.67*(1.184419)</f>
        <v>61.19892973000001</v>
      </c>
      <c r="F961" s="93">
        <f>9.27*(1.184419)</f>
        <v>10.97956413</v>
      </c>
      <c r="G961" s="93">
        <f>0.56*(1.184419)</f>
        <v>0.66327464000000014</v>
      </c>
      <c r="H961" s="104">
        <f t="shared" si="42"/>
        <v>72.841768500000001</v>
      </c>
      <c r="I961" s="105">
        <f t="shared" si="43"/>
        <v>946.94299049999995</v>
      </c>
    </row>
    <row r="962" spans="1:9" ht="28.2" thickBot="1" x14ac:dyDescent="0.35">
      <c r="A962" s="23" t="s">
        <v>1594</v>
      </c>
      <c r="B962" s="26" t="s">
        <v>1595</v>
      </c>
      <c r="C962" s="24" t="s">
        <v>49</v>
      </c>
      <c r="D962" s="27">
        <v>3</v>
      </c>
      <c r="E962" s="93">
        <f>63.12*(1.184419)</f>
        <v>74.760527280000005</v>
      </c>
      <c r="F962" s="93">
        <f>10.87*(1.184419)</f>
        <v>12.87463453</v>
      </c>
      <c r="G962" s="93">
        <f>0.66*(1.184419)</f>
        <v>0.78171654000000013</v>
      </c>
      <c r="H962" s="104">
        <f t="shared" si="42"/>
        <v>88.416878350000005</v>
      </c>
      <c r="I962" s="105">
        <f t="shared" si="43"/>
        <v>265.25063505000003</v>
      </c>
    </row>
    <row r="963" spans="1:9" ht="42" thickBot="1" x14ac:dyDescent="0.35">
      <c r="A963" s="23" t="s">
        <v>1596</v>
      </c>
      <c r="B963" s="26" t="s">
        <v>512</v>
      </c>
      <c r="C963" s="24" t="s">
        <v>49</v>
      </c>
      <c r="D963" s="27">
        <v>3</v>
      </c>
      <c r="E963" s="93">
        <f>48.88*(1.184419)</f>
        <v>57.894400720000007</v>
      </c>
      <c r="F963" s="93">
        <f>9.27*(1.184419)</f>
        <v>10.97956413</v>
      </c>
      <c r="G963" s="93">
        <f>0.56*(1.184419)</f>
        <v>0.66327464000000014</v>
      </c>
      <c r="H963" s="104">
        <f t="shared" si="42"/>
        <v>69.537239490000005</v>
      </c>
      <c r="I963" s="105">
        <f t="shared" si="43"/>
        <v>208.61171847000003</v>
      </c>
    </row>
    <row r="964" spans="1:9" ht="15" thickBot="1" x14ac:dyDescent="0.35">
      <c r="A964" s="23" t="s">
        <v>1597</v>
      </c>
      <c r="B964" s="26" t="s">
        <v>1598</v>
      </c>
      <c r="C964" s="24" t="s">
        <v>49</v>
      </c>
      <c r="D964" s="27">
        <v>2</v>
      </c>
      <c r="E964" s="93">
        <f>71.33*(1.184419)</f>
        <v>84.484607270000012</v>
      </c>
      <c r="F964" s="93">
        <f>11.31*(1.184419)</f>
        <v>13.395778890000003</v>
      </c>
      <c r="G964" s="93">
        <f>0.03*(1.184419)</f>
        <v>3.5532569999999999E-2</v>
      </c>
      <c r="H964" s="104">
        <f t="shared" si="42"/>
        <v>97.915918730000016</v>
      </c>
      <c r="I964" s="105">
        <f t="shared" si="43"/>
        <v>195.83183746000003</v>
      </c>
    </row>
    <row r="965" spans="1:9" ht="28.2" thickBot="1" x14ac:dyDescent="0.35">
      <c r="A965" s="23" t="s">
        <v>1599</v>
      </c>
      <c r="B965" s="26" t="s">
        <v>1600</v>
      </c>
      <c r="C965" s="24" t="s">
        <v>49</v>
      </c>
      <c r="D965" s="27">
        <v>1</v>
      </c>
      <c r="E965" s="93">
        <f>34.33*(1.184419)</f>
        <v>40.661104270000003</v>
      </c>
      <c r="F965" s="93">
        <f>4.62*(1.184419)</f>
        <v>5.4720157800000004</v>
      </c>
      <c r="G965" s="93">
        <f>0.28*(1.184419)</f>
        <v>0.33163732000000007</v>
      </c>
      <c r="H965" s="104">
        <f t="shared" si="42"/>
        <v>46.464757370000001</v>
      </c>
      <c r="I965" s="105">
        <f t="shared" si="43"/>
        <v>46.464757370000001</v>
      </c>
    </row>
    <row r="966" spans="1:9" ht="28.2" thickBot="1" x14ac:dyDescent="0.35">
      <c r="A966" s="23" t="s">
        <v>1601</v>
      </c>
      <c r="B966" s="26" t="s">
        <v>1602</v>
      </c>
      <c r="C966" s="24" t="s">
        <v>49</v>
      </c>
      <c r="D966" s="27">
        <v>4</v>
      </c>
      <c r="E966" s="93">
        <f>46.34*(1.184419)</f>
        <v>54.885976460000009</v>
      </c>
      <c r="F966" s="93">
        <f>6.22*(1.184419)</f>
        <v>7.3670861800000003</v>
      </c>
      <c r="G966" s="93">
        <f>0.38*(1.184419)</f>
        <v>0.45007922000000006</v>
      </c>
      <c r="H966" s="104">
        <f t="shared" si="42"/>
        <v>62.703141860000009</v>
      </c>
      <c r="I966" s="105">
        <f t="shared" si="43"/>
        <v>250.81256744000004</v>
      </c>
    </row>
    <row r="967" spans="1:9" ht="28.2" thickBot="1" x14ac:dyDescent="0.35">
      <c r="A967" s="23" t="s">
        <v>1603</v>
      </c>
      <c r="B967" s="26" t="s">
        <v>1604</v>
      </c>
      <c r="C967" s="24" t="s">
        <v>49</v>
      </c>
      <c r="D967" s="27">
        <v>7</v>
      </c>
      <c r="E967" s="93">
        <f>68.83*(1.184419)</f>
        <v>81.523559770000006</v>
      </c>
      <c r="F967" s="93">
        <f>8.46*(1.184419)</f>
        <v>10.020184740000001</v>
      </c>
      <c r="G967" s="93">
        <f>0.5*(1.184419)</f>
        <v>0.59220950000000006</v>
      </c>
      <c r="H967" s="104">
        <f t="shared" si="42"/>
        <v>92.135954010000006</v>
      </c>
      <c r="I967" s="105">
        <f t="shared" si="43"/>
        <v>644.95167807000007</v>
      </c>
    </row>
    <row r="968" spans="1:9" ht="28.2" thickBot="1" x14ac:dyDescent="0.35">
      <c r="A968" s="23" t="s">
        <v>1605</v>
      </c>
      <c r="B968" s="26" t="s">
        <v>1606</v>
      </c>
      <c r="C968" s="24" t="s">
        <v>49</v>
      </c>
      <c r="D968" s="27">
        <v>7</v>
      </c>
      <c r="E968" s="93">
        <f>83.16*(1.184419)</f>
        <v>98.496284040000006</v>
      </c>
      <c r="F968" s="93">
        <f>11.03*(1.184419)</f>
        <v>13.06414157</v>
      </c>
      <c r="G968" s="93">
        <f>0.66*(1.184419)</f>
        <v>0.78171654000000013</v>
      </c>
      <c r="H968" s="104">
        <f t="shared" ref="H968:H1029" si="44">E968+F968+G968</f>
        <v>112.34214215000002</v>
      </c>
      <c r="I968" s="105">
        <f t="shared" ref="I968:I1029" si="45">H968*D968</f>
        <v>786.39499505000015</v>
      </c>
    </row>
    <row r="969" spans="1:9" ht="28.2" thickBot="1" x14ac:dyDescent="0.35">
      <c r="A969" s="23" t="s">
        <v>1607</v>
      </c>
      <c r="B969" s="26" t="s">
        <v>1608</v>
      </c>
      <c r="C969" s="24" t="s">
        <v>49</v>
      </c>
      <c r="D969" s="27">
        <v>2</v>
      </c>
      <c r="E969" s="93">
        <f>127.39*(1.184419)</f>
        <v>150.88313641000002</v>
      </c>
      <c r="F969" s="93">
        <f>14.23*(1.184419)</f>
        <v>16.854282370000004</v>
      </c>
      <c r="G969" s="93">
        <f>0.86*(1.184419)</f>
        <v>1.0186003400000001</v>
      </c>
      <c r="H969" s="104">
        <f t="shared" si="44"/>
        <v>168.75601912000002</v>
      </c>
      <c r="I969" s="105">
        <f t="shared" si="45"/>
        <v>337.51203824000004</v>
      </c>
    </row>
    <row r="970" spans="1:9" ht="42" thickBot="1" x14ac:dyDescent="0.35">
      <c r="A970" s="23" t="s">
        <v>1609</v>
      </c>
      <c r="B970" s="26" t="s">
        <v>1610</v>
      </c>
      <c r="C970" s="24" t="s">
        <v>49</v>
      </c>
      <c r="D970" s="27">
        <v>2</v>
      </c>
      <c r="E970" s="93">
        <f>626.46*(1.184419)</f>
        <v>741.99112674000014</v>
      </c>
      <c r="F970" s="93">
        <f>34.25*(1.184419)</f>
        <v>40.566350750000005</v>
      </c>
      <c r="G970" s="93">
        <f>2.06*(1.184419)</f>
        <v>2.4399031400000002</v>
      </c>
      <c r="H970" s="104">
        <f t="shared" si="44"/>
        <v>784.99738063000007</v>
      </c>
      <c r="I970" s="105">
        <f t="shared" si="45"/>
        <v>1569.9947612600001</v>
      </c>
    </row>
    <row r="971" spans="1:9" ht="28.2" thickBot="1" x14ac:dyDescent="0.35">
      <c r="A971" s="23" t="s">
        <v>1611</v>
      </c>
      <c r="B971" s="26" t="s">
        <v>1612</v>
      </c>
      <c r="C971" s="24" t="s">
        <v>49</v>
      </c>
      <c r="D971" s="27">
        <v>2</v>
      </c>
      <c r="E971" s="93">
        <f>115.57*(1.184419)</f>
        <v>136.88330383000002</v>
      </c>
      <c r="F971" s="93">
        <f>11.03*(1.184419)</f>
        <v>13.06414157</v>
      </c>
      <c r="G971" s="93">
        <f>0.66*(1.184419)</f>
        <v>0.78171654000000013</v>
      </c>
      <c r="H971" s="104">
        <f t="shared" si="44"/>
        <v>150.72916194000001</v>
      </c>
      <c r="I971" s="105">
        <f t="shared" si="45"/>
        <v>301.45832388000002</v>
      </c>
    </row>
    <row r="972" spans="1:9" ht="28.2" thickBot="1" x14ac:dyDescent="0.35">
      <c r="A972" s="23" t="s">
        <v>1613</v>
      </c>
      <c r="B972" s="26" t="s">
        <v>1614</v>
      </c>
      <c r="C972" s="24" t="s">
        <v>49</v>
      </c>
      <c r="D972" s="27">
        <v>2</v>
      </c>
      <c r="E972" s="93">
        <f>55.5*(1.184419)</f>
        <v>65.735254500000011</v>
      </c>
      <c r="F972" s="93">
        <f>4.23*(1.184419)</f>
        <v>5.0100923700000006</v>
      </c>
      <c r="G972" s="93">
        <f>0.26*(1.184419)</f>
        <v>0.30794894000000006</v>
      </c>
      <c r="H972" s="104">
        <f t="shared" si="44"/>
        <v>71.053295810000009</v>
      </c>
      <c r="I972" s="105">
        <f t="shared" si="45"/>
        <v>142.10659162000002</v>
      </c>
    </row>
    <row r="973" spans="1:9" ht="15" thickBot="1" x14ac:dyDescent="0.35">
      <c r="A973" s="30"/>
      <c r="B973" s="26"/>
      <c r="C973" s="26"/>
      <c r="D973" s="26"/>
      <c r="E973" s="93"/>
      <c r="F973" s="93"/>
      <c r="G973" s="93"/>
      <c r="H973" s="104"/>
      <c r="I973" s="105"/>
    </row>
    <row r="974" spans="1:9" ht="15" thickBot="1" x14ac:dyDescent="0.35">
      <c r="A974" s="40" t="s">
        <v>1615</v>
      </c>
      <c r="B974" s="42" t="s">
        <v>484</v>
      </c>
      <c r="C974" s="26"/>
      <c r="D974" s="26"/>
      <c r="E974" s="93"/>
      <c r="F974" s="93"/>
      <c r="G974" s="93"/>
      <c r="H974" s="104"/>
      <c r="I974" s="119">
        <f>SUM(I975:I982)</f>
        <v>1918.4745194400002</v>
      </c>
    </row>
    <row r="975" spans="1:9" ht="15" thickBot="1" x14ac:dyDescent="0.35">
      <c r="A975" s="23" t="s">
        <v>1616</v>
      </c>
      <c r="B975" s="31" t="s">
        <v>1617</v>
      </c>
      <c r="C975" s="24" t="s">
        <v>49</v>
      </c>
      <c r="D975" s="27">
        <v>4</v>
      </c>
      <c r="E975" s="93">
        <f>37.49*(1.184419)</f>
        <v>44.403868310000007</v>
      </c>
      <c r="F975" s="93">
        <f>9.13*(1.184419)</f>
        <v>10.813745470000002</v>
      </c>
      <c r="G975" s="93"/>
      <c r="H975" s="104">
        <f t="shared" si="44"/>
        <v>55.217613780000008</v>
      </c>
      <c r="I975" s="105">
        <f t="shared" si="45"/>
        <v>220.87045512000003</v>
      </c>
    </row>
    <row r="976" spans="1:9" ht="15" thickBot="1" x14ac:dyDescent="0.35">
      <c r="A976" s="23" t="s">
        <v>1618</v>
      </c>
      <c r="B976" s="31" t="s">
        <v>1619</v>
      </c>
      <c r="C976" s="24" t="s">
        <v>49</v>
      </c>
      <c r="D976" s="27">
        <v>7</v>
      </c>
      <c r="E976" s="93">
        <f>37.49*(1.184419)</f>
        <v>44.403868310000007</v>
      </c>
      <c r="F976" s="93">
        <f>9.13*(1.184419)</f>
        <v>10.813745470000002</v>
      </c>
      <c r="G976" s="93"/>
      <c r="H976" s="104">
        <f t="shared" si="44"/>
        <v>55.217613780000008</v>
      </c>
      <c r="I976" s="105">
        <f t="shared" si="45"/>
        <v>386.52329646000004</v>
      </c>
    </row>
    <row r="977" spans="1:9" ht="15" thickBot="1" x14ac:dyDescent="0.35">
      <c r="A977" s="23" t="s">
        <v>1620</v>
      </c>
      <c r="B977" s="31" t="s">
        <v>1621</v>
      </c>
      <c r="C977" s="24" t="s">
        <v>49</v>
      </c>
      <c r="D977" s="27">
        <v>1</v>
      </c>
      <c r="E977" s="93">
        <f>37.49*(1.184419)</f>
        <v>44.403868310000007</v>
      </c>
      <c r="F977" s="93">
        <f>9.13*(1.184419)</f>
        <v>10.813745470000002</v>
      </c>
      <c r="G977" s="93"/>
      <c r="H977" s="104">
        <f t="shared" si="44"/>
        <v>55.217613780000008</v>
      </c>
      <c r="I977" s="105">
        <f t="shared" si="45"/>
        <v>55.217613780000008</v>
      </c>
    </row>
    <row r="978" spans="1:9" ht="15" thickBot="1" x14ac:dyDescent="0.35">
      <c r="A978" s="23" t="s">
        <v>1622</v>
      </c>
      <c r="B978" s="31" t="s">
        <v>1623</v>
      </c>
      <c r="C978" s="24" t="s">
        <v>49</v>
      </c>
      <c r="D978" s="27">
        <v>4</v>
      </c>
      <c r="E978" s="93">
        <f>37.49*(1.184419)</f>
        <v>44.403868310000007</v>
      </c>
      <c r="F978" s="93">
        <f>9.13*(1.184419)</f>
        <v>10.813745470000002</v>
      </c>
      <c r="G978" s="93"/>
      <c r="H978" s="104">
        <f t="shared" si="44"/>
        <v>55.217613780000008</v>
      </c>
      <c r="I978" s="105">
        <f t="shared" si="45"/>
        <v>220.87045512000003</v>
      </c>
    </row>
    <row r="979" spans="1:9" ht="15" thickBot="1" x14ac:dyDescent="0.35">
      <c r="A979" s="23" t="s">
        <v>1624</v>
      </c>
      <c r="B979" s="31" t="s">
        <v>1625</v>
      </c>
      <c r="C979" s="24" t="s">
        <v>49</v>
      </c>
      <c r="D979" s="27">
        <v>1</v>
      </c>
      <c r="E979" s="93">
        <f>37.49*(1.184419)</f>
        <v>44.403868310000007</v>
      </c>
      <c r="F979" s="93">
        <f>9.13*(1.184419)</f>
        <v>10.813745470000002</v>
      </c>
      <c r="G979" s="93"/>
      <c r="H979" s="104">
        <f t="shared" si="44"/>
        <v>55.217613780000008</v>
      </c>
      <c r="I979" s="105">
        <f t="shared" si="45"/>
        <v>55.217613780000008</v>
      </c>
    </row>
    <row r="980" spans="1:9" ht="28.2" thickBot="1" x14ac:dyDescent="0.35">
      <c r="A980" s="23" t="s">
        <v>1626</v>
      </c>
      <c r="B980" s="26" t="s">
        <v>1627</v>
      </c>
      <c r="C980" s="24" t="s">
        <v>49</v>
      </c>
      <c r="D980" s="27">
        <v>1</v>
      </c>
      <c r="E980" s="93">
        <f>43.92*(1.184419)</f>
        <v>52.019682480000007</v>
      </c>
      <c r="F980" s="93">
        <f>20.2*(1.184419)</f>
        <v>23.9252638</v>
      </c>
      <c r="G980" s="93">
        <f>0.06*(1.184419)</f>
        <v>7.1065139999999999E-2</v>
      </c>
      <c r="H980" s="104">
        <f t="shared" si="44"/>
        <v>76.016011420000012</v>
      </c>
      <c r="I980" s="105">
        <f t="shared" si="45"/>
        <v>76.016011420000012</v>
      </c>
    </row>
    <row r="981" spans="1:9" ht="15" thickBot="1" x14ac:dyDescent="0.35">
      <c r="A981" s="23" t="s">
        <v>1628</v>
      </c>
      <c r="B981" s="26" t="s">
        <v>1629</v>
      </c>
      <c r="C981" s="24" t="s">
        <v>49</v>
      </c>
      <c r="D981" s="27">
        <v>7</v>
      </c>
      <c r="E981" s="93">
        <f>46.42*(1.184419)</f>
        <v>54.980729980000007</v>
      </c>
      <c r="F981" s="93">
        <f>20.2*(1.184419)</f>
        <v>23.9252638</v>
      </c>
      <c r="G981" s="93">
        <f>0.06*(1.184419)</f>
        <v>7.1065139999999999E-2</v>
      </c>
      <c r="H981" s="104">
        <f t="shared" si="44"/>
        <v>78.977058920000005</v>
      </c>
      <c r="I981" s="105">
        <f t="shared" si="45"/>
        <v>552.83941244000005</v>
      </c>
    </row>
    <row r="982" spans="1:9" ht="42" thickBot="1" x14ac:dyDescent="0.35">
      <c r="A982" s="23" t="s">
        <v>1630</v>
      </c>
      <c r="B982" s="26" t="s">
        <v>1631</v>
      </c>
      <c r="C982" s="24" t="s">
        <v>49</v>
      </c>
      <c r="D982" s="27">
        <v>18</v>
      </c>
      <c r="E982" s="93">
        <f>8.78*(1.184419)</f>
        <v>10.399198820000001</v>
      </c>
      <c r="F982" s="93">
        <f>7.24*(1.184419)</f>
        <v>8.5751935600000007</v>
      </c>
      <c r="G982" s="93">
        <f>0.44*(1.184419)</f>
        <v>0.52114436000000008</v>
      </c>
      <c r="H982" s="104">
        <f t="shared" si="44"/>
        <v>19.495536740000002</v>
      </c>
      <c r="I982" s="105">
        <f t="shared" si="45"/>
        <v>350.91966132000005</v>
      </c>
    </row>
    <row r="983" spans="1:9" ht="15" thickBot="1" x14ac:dyDescent="0.35">
      <c r="A983" s="30"/>
      <c r="B983" s="26"/>
      <c r="C983" s="26"/>
      <c r="D983" s="26"/>
      <c r="E983" s="93"/>
      <c r="F983" s="93"/>
      <c r="G983" s="93"/>
      <c r="H983" s="104"/>
      <c r="I983" s="105"/>
    </row>
    <row r="984" spans="1:9" ht="15" thickBot="1" x14ac:dyDescent="0.35">
      <c r="A984" s="40" t="s">
        <v>1632</v>
      </c>
      <c r="B984" s="42" t="s">
        <v>1633</v>
      </c>
      <c r="C984" s="26"/>
      <c r="D984" s="26"/>
      <c r="E984" s="93"/>
      <c r="F984" s="93"/>
      <c r="G984" s="93"/>
      <c r="H984" s="104"/>
      <c r="I984" s="119">
        <f>SUM(I985:I988)</f>
        <v>26885.494050890004</v>
      </c>
    </row>
    <row r="985" spans="1:9" ht="42" thickBot="1" x14ac:dyDescent="0.35">
      <c r="A985" s="23" t="s">
        <v>1634</v>
      </c>
      <c r="B985" s="31" t="s">
        <v>1635</v>
      </c>
      <c r="C985" s="24" t="s">
        <v>49</v>
      </c>
      <c r="D985" s="27">
        <v>2</v>
      </c>
      <c r="E985" s="93">
        <f>1202.24*(1.184419)</f>
        <v>1423.9558985600002</v>
      </c>
      <c r="F985" s="93">
        <f>119.14*(1.184419)</f>
        <v>141.11167966000002</v>
      </c>
      <c r="G985" s="93">
        <f>7.88*(1.184419)</f>
        <v>9.3332217200000009</v>
      </c>
      <c r="H985" s="104">
        <f t="shared" si="44"/>
        <v>1574.4007999400001</v>
      </c>
      <c r="I985" s="105">
        <f t="shared" si="45"/>
        <v>3148.8015998800001</v>
      </c>
    </row>
    <row r="986" spans="1:9" ht="42" thickBot="1" x14ac:dyDescent="0.35">
      <c r="A986" s="23" t="s">
        <v>1636</v>
      </c>
      <c r="B986" s="31" t="s">
        <v>1637</v>
      </c>
      <c r="C986" s="24" t="s">
        <v>49</v>
      </c>
      <c r="D986" s="27">
        <v>2</v>
      </c>
      <c r="E986" s="93">
        <f>7657.36*(1.184419)</f>
        <v>9069.5226738399997</v>
      </c>
      <c r="F986" s="93">
        <f>203.55*(1.184419)</f>
        <v>241.08848745000003</v>
      </c>
      <c r="G986" s="93">
        <f>14.1*(1.184419)</f>
        <v>16.700307900000002</v>
      </c>
      <c r="H986" s="104">
        <f t="shared" si="44"/>
        <v>9327.3114691900009</v>
      </c>
      <c r="I986" s="105">
        <f t="shared" si="45"/>
        <v>18654.622938380002</v>
      </c>
    </row>
    <row r="987" spans="1:9" ht="28.2" thickBot="1" x14ac:dyDescent="0.35">
      <c r="A987" s="23" t="s">
        <v>1638</v>
      </c>
      <c r="B987" s="31" t="s">
        <v>1639</v>
      </c>
      <c r="C987" s="24" t="s">
        <v>90</v>
      </c>
      <c r="D987" s="27">
        <v>1</v>
      </c>
      <c r="E987" s="93">
        <f>1988.84*(1.184419)</f>
        <v>2355.6198839600002</v>
      </c>
      <c r="F987" s="93">
        <f>62.27*(1.184419)</f>
        <v>73.753771130000004</v>
      </c>
      <c r="G987" s="93">
        <f>4.6*(1.184419)</f>
        <v>5.4483274000000002</v>
      </c>
      <c r="H987" s="104">
        <f t="shared" si="44"/>
        <v>2434.8219824900002</v>
      </c>
      <c r="I987" s="105">
        <f t="shared" si="45"/>
        <v>2434.8219824900002</v>
      </c>
    </row>
    <row r="988" spans="1:9" ht="28.2" thickBot="1" x14ac:dyDescent="0.35">
      <c r="A988" s="23" t="s">
        <v>1640</v>
      </c>
      <c r="B988" s="31" t="s">
        <v>1641</v>
      </c>
      <c r="C988" s="24" t="s">
        <v>90</v>
      </c>
      <c r="D988" s="27">
        <v>1</v>
      </c>
      <c r="E988" s="93">
        <f>2150.07*(1.184419)</f>
        <v>2546.5837593300002</v>
      </c>
      <c r="F988" s="93">
        <f>79.15*(1.184419)</f>
        <v>93.746763850000022</v>
      </c>
      <c r="G988" s="93">
        <f>5.84*(1.184419)</f>
        <v>6.9170069600000001</v>
      </c>
      <c r="H988" s="104">
        <f t="shared" si="44"/>
        <v>2647.2475301400004</v>
      </c>
      <c r="I988" s="105">
        <f t="shared" si="45"/>
        <v>2647.2475301400004</v>
      </c>
    </row>
    <row r="989" spans="1:9" ht="15" thickBot="1" x14ac:dyDescent="0.35">
      <c r="A989" s="30"/>
      <c r="B989" s="26"/>
      <c r="C989" s="26"/>
      <c r="D989" s="26"/>
      <c r="E989" s="93"/>
      <c r="F989" s="93"/>
      <c r="G989" s="93"/>
      <c r="H989" s="104"/>
      <c r="I989" s="105"/>
    </row>
    <row r="990" spans="1:9" ht="15" thickBot="1" x14ac:dyDescent="0.35">
      <c r="A990" s="40" t="s">
        <v>1642</v>
      </c>
      <c r="B990" s="42" t="s">
        <v>1643</v>
      </c>
      <c r="C990" s="26"/>
      <c r="D990" s="26"/>
      <c r="E990" s="93"/>
      <c r="F990" s="93"/>
      <c r="G990" s="93"/>
      <c r="H990" s="104"/>
      <c r="I990" s="119">
        <f>SUM(I991:I992)</f>
        <v>9434.8211818200016</v>
      </c>
    </row>
    <row r="991" spans="1:9" ht="28.2" thickBot="1" x14ac:dyDescent="0.35">
      <c r="A991" s="23" t="s">
        <v>1644</v>
      </c>
      <c r="B991" s="26" t="s">
        <v>1645</v>
      </c>
      <c r="C991" s="24" t="s">
        <v>49</v>
      </c>
      <c r="D991" s="27">
        <v>2</v>
      </c>
      <c r="E991" s="93">
        <f>612.01*(1.184419)</f>
        <v>724.87627219000001</v>
      </c>
      <c r="F991" s="93">
        <f>6.43*(1.184419)</f>
        <v>7.6158141700000002</v>
      </c>
      <c r="G991" s="93">
        <f>0.38*(1.184419)</f>
        <v>0.45007922000000006</v>
      </c>
      <c r="H991" s="104">
        <f t="shared" si="44"/>
        <v>732.94216558000005</v>
      </c>
      <c r="I991" s="105">
        <f t="shared" si="45"/>
        <v>1465.8843311600001</v>
      </c>
    </row>
    <row r="992" spans="1:9" ht="28.2" thickBot="1" x14ac:dyDescent="0.35">
      <c r="A992" s="23" t="s">
        <v>1646</v>
      </c>
      <c r="B992" s="26" t="s">
        <v>1647</v>
      </c>
      <c r="C992" s="24" t="s">
        <v>49</v>
      </c>
      <c r="D992" s="27">
        <v>2</v>
      </c>
      <c r="E992" s="93">
        <f>2878.42*(1.184419)</f>
        <v>3409.2553379800006</v>
      </c>
      <c r="F992" s="93">
        <f>135.45*(1.184419)</f>
        <v>160.42955355000001</v>
      </c>
      <c r="G992" s="93">
        <f>350.2*(1.184419)</f>
        <v>414.78353380000004</v>
      </c>
      <c r="H992" s="104">
        <f t="shared" si="44"/>
        <v>3984.4684253300006</v>
      </c>
      <c r="I992" s="105">
        <f t="shared" si="45"/>
        <v>7968.9368506600013</v>
      </c>
    </row>
    <row r="993" spans="1:9" ht="15" thickBot="1" x14ac:dyDescent="0.35">
      <c r="A993" s="30"/>
      <c r="B993" s="26"/>
      <c r="C993" s="26"/>
      <c r="D993" s="26"/>
      <c r="E993" s="93"/>
      <c r="F993" s="93"/>
      <c r="G993" s="93"/>
      <c r="H993" s="104"/>
      <c r="I993" s="105"/>
    </row>
    <row r="994" spans="1:9" ht="15" thickBot="1" x14ac:dyDescent="0.35">
      <c r="A994" s="34" t="s">
        <v>1648</v>
      </c>
      <c r="B994" s="36" t="s">
        <v>1649</v>
      </c>
      <c r="C994" s="35"/>
      <c r="D994" s="35"/>
      <c r="E994" s="35"/>
      <c r="F994" s="35"/>
      <c r="G994" s="35"/>
      <c r="H994" s="35"/>
      <c r="I994" s="117">
        <f>I995+I1036+I1039+I1043+I1031+I1050+I1055+0</f>
        <v>51442.014092063007</v>
      </c>
    </row>
    <row r="995" spans="1:9" ht="15" thickBot="1" x14ac:dyDescent="0.35">
      <c r="A995" s="40" t="s">
        <v>1650</v>
      </c>
      <c r="B995" s="41" t="s">
        <v>1651</v>
      </c>
      <c r="C995" s="26"/>
      <c r="D995" s="26"/>
      <c r="E995" s="93"/>
      <c r="F995" s="93"/>
      <c r="G995" s="93"/>
      <c r="H995" s="104"/>
      <c r="I995" s="119">
        <f>SUM(I996:I1029)</f>
        <v>35228.956033540009</v>
      </c>
    </row>
    <row r="996" spans="1:9" ht="42" thickBot="1" x14ac:dyDescent="0.35">
      <c r="A996" s="23" t="s">
        <v>1652</v>
      </c>
      <c r="B996" s="26" t="s">
        <v>1653</v>
      </c>
      <c r="C996" s="24" t="s">
        <v>135</v>
      </c>
      <c r="D996" s="27">
        <v>132</v>
      </c>
      <c r="E996" s="93">
        <f>9.97*(1.184419)</f>
        <v>11.808657430000002</v>
      </c>
      <c r="F996" s="93">
        <f>12.56*(1.184419)</f>
        <v>14.876302640000002</v>
      </c>
      <c r="G996" s="93">
        <f>0.76*(1.184419)</f>
        <v>0.90015844000000012</v>
      </c>
      <c r="H996" s="104">
        <f t="shared" si="44"/>
        <v>27.585118510000001</v>
      </c>
      <c r="I996" s="105">
        <f t="shared" si="45"/>
        <v>3641.2356433200002</v>
      </c>
    </row>
    <row r="997" spans="1:9" ht="42" thickBot="1" x14ac:dyDescent="0.35">
      <c r="A997" s="23" t="s">
        <v>1654</v>
      </c>
      <c r="B997" s="26" t="s">
        <v>1655</v>
      </c>
      <c r="C997" s="24" t="s">
        <v>135</v>
      </c>
      <c r="D997" s="27">
        <v>129</v>
      </c>
      <c r="E997" s="93">
        <f>17.62*(1.184419)</f>
        <v>20.869462780000003</v>
      </c>
      <c r="F997" s="93">
        <f>15.91*(1.184419)</f>
        <v>18.844106290000003</v>
      </c>
      <c r="G997" s="93">
        <f>0.96*(1.184419)</f>
        <v>1.13704224</v>
      </c>
      <c r="H997" s="104">
        <f t="shared" si="44"/>
        <v>40.850611310000005</v>
      </c>
      <c r="I997" s="105">
        <f t="shared" si="45"/>
        <v>5269.7288589900008</v>
      </c>
    </row>
    <row r="998" spans="1:9" ht="42" thickBot="1" x14ac:dyDescent="0.35">
      <c r="A998" s="23" t="s">
        <v>1656</v>
      </c>
      <c r="B998" s="26" t="s">
        <v>1657</v>
      </c>
      <c r="C998" s="24" t="s">
        <v>135</v>
      </c>
      <c r="D998" s="27">
        <v>44</v>
      </c>
      <c r="E998" s="93">
        <f>27.55*(1.184419)</f>
        <v>32.630743450000004</v>
      </c>
      <c r="F998" s="93">
        <f>23.45*(1.184419)</f>
        <v>27.774625550000003</v>
      </c>
      <c r="G998" s="93">
        <f>1.42*(1.184419)</f>
        <v>1.6818749800000001</v>
      </c>
      <c r="H998" s="104">
        <f t="shared" si="44"/>
        <v>62.087243980000011</v>
      </c>
      <c r="I998" s="105">
        <f t="shared" si="45"/>
        <v>2731.8387351200004</v>
      </c>
    </row>
    <row r="999" spans="1:9" ht="42" thickBot="1" x14ac:dyDescent="0.35">
      <c r="A999" s="23" t="s">
        <v>1658</v>
      </c>
      <c r="B999" s="26" t="s">
        <v>1659</v>
      </c>
      <c r="C999" s="24" t="s">
        <v>135</v>
      </c>
      <c r="D999" s="27">
        <v>100</v>
      </c>
      <c r="E999" s="93">
        <f>34.43*(1.184419)</f>
        <v>40.779546170000003</v>
      </c>
      <c r="F999" s="93">
        <f>30.99*(1.184419)</f>
        <v>36.70514481</v>
      </c>
      <c r="G999" s="93">
        <f>1.86*(1.184419)</f>
        <v>2.2030193400000004</v>
      </c>
      <c r="H999" s="104">
        <f t="shared" si="44"/>
        <v>79.687710320000008</v>
      </c>
      <c r="I999" s="105">
        <f t="shared" si="45"/>
        <v>7968.7710320000006</v>
      </c>
    </row>
    <row r="1000" spans="1:9" ht="15" thickBot="1" x14ac:dyDescent="0.35">
      <c r="A1000" s="23" t="s">
        <v>1660</v>
      </c>
      <c r="B1000" s="26" t="s">
        <v>1661</v>
      </c>
      <c r="C1000" s="24" t="s">
        <v>49</v>
      </c>
      <c r="D1000" s="27">
        <v>11</v>
      </c>
      <c r="E1000" s="93">
        <f>2.02*(1.184419)</f>
        <v>2.3925263800000001</v>
      </c>
      <c r="F1000" s="93">
        <f>1.99*(1.184419)</f>
        <v>2.3569938100000001</v>
      </c>
      <c r="G1000" s="93">
        <f>0.13*(1.184419)</f>
        <v>0.15397447000000003</v>
      </c>
      <c r="H1000" s="104">
        <f t="shared" si="44"/>
        <v>4.9034946599999998</v>
      </c>
      <c r="I1000" s="105">
        <f t="shared" si="45"/>
        <v>53.938441259999998</v>
      </c>
    </row>
    <row r="1001" spans="1:9" ht="15" thickBot="1" x14ac:dyDescent="0.35">
      <c r="A1001" s="23" t="s">
        <v>1662</v>
      </c>
      <c r="B1001" s="26" t="s">
        <v>1663</v>
      </c>
      <c r="C1001" s="24" t="s">
        <v>49</v>
      </c>
      <c r="D1001" s="27">
        <v>305</v>
      </c>
      <c r="E1001" s="93">
        <f>3.58*(1.184419)</f>
        <v>4.2402200200000006</v>
      </c>
      <c r="F1001" s="93">
        <f>7.94*(1.184419)</f>
        <v>9.4042868600000009</v>
      </c>
      <c r="G1001" s="93">
        <f>0.47*(1.184419)</f>
        <v>0.55667693000000007</v>
      </c>
      <c r="H1001" s="104">
        <f t="shared" si="44"/>
        <v>14.201183810000002</v>
      </c>
      <c r="I1001" s="105">
        <f t="shared" si="45"/>
        <v>4331.3610620500003</v>
      </c>
    </row>
    <row r="1002" spans="1:9" ht="15" thickBot="1" x14ac:dyDescent="0.35">
      <c r="A1002" s="23" t="s">
        <v>1664</v>
      </c>
      <c r="B1002" s="26" t="s">
        <v>1373</v>
      </c>
      <c r="C1002" s="24" t="s">
        <v>49</v>
      </c>
      <c r="D1002" s="27">
        <v>80</v>
      </c>
      <c r="E1002" s="93">
        <f>4.19*(1.184419)</f>
        <v>4.9627156100000009</v>
      </c>
      <c r="F1002" s="93">
        <f>7.71*(1.184419)</f>
        <v>9.1318704900000007</v>
      </c>
      <c r="G1002" s="93">
        <f>0.46*(1.184419)</f>
        <v>0.54483274000000004</v>
      </c>
      <c r="H1002" s="104">
        <f t="shared" si="44"/>
        <v>14.639418840000001</v>
      </c>
      <c r="I1002" s="105">
        <f t="shared" si="45"/>
        <v>1171.1535072000001</v>
      </c>
    </row>
    <row r="1003" spans="1:9" ht="15" thickBot="1" x14ac:dyDescent="0.35">
      <c r="A1003" s="23" t="s">
        <v>1665</v>
      </c>
      <c r="B1003" s="26" t="s">
        <v>1375</v>
      </c>
      <c r="C1003" s="24" t="s">
        <v>49</v>
      </c>
      <c r="D1003" s="27">
        <v>112</v>
      </c>
      <c r="E1003" s="93">
        <f>3.47*(1.184419)</f>
        <v>4.1099339300000004</v>
      </c>
      <c r="F1003" s="93">
        <f>3.31*(1.184419)</f>
        <v>3.9204268900000003</v>
      </c>
      <c r="G1003" s="93">
        <f>0.23*(1.184419)</f>
        <v>0.27241637000000002</v>
      </c>
      <c r="H1003" s="104">
        <f t="shared" si="44"/>
        <v>8.3027771900000005</v>
      </c>
      <c r="I1003" s="105">
        <f t="shared" si="45"/>
        <v>929.91104528000005</v>
      </c>
    </row>
    <row r="1004" spans="1:9" ht="28.2" thickBot="1" x14ac:dyDescent="0.35">
      <c r="A1004" s="23" t="s">
        <v>1666</v>
      </c>
      <c r="B1004" s="26" t="s">
        <v>1667</v>
      </c>
      <c r="C1004" s="24" t="s">
        <v>49</v>
      </c>
      <c r="D1004" s="27">
        <v>0</v>
      </c>
      <c r="E1004" s="93"/>
      <c r="F1004" s="93"/>
      <c r="G1004" s="93"/>
      <c r="H1004" s="104">
        <f t="shared" si="44"/>
        <v>0</v>
      </c>
      <c r="I1004" s="105">
        <f t="shared" si="45"/>
        <v>0</v>
      </c>
    </row>
    <row r="1005" spans="1:9" ht="42" thickBot="1" x14ac:dyDescent="0.35">
      <c r="A1005" s="23" t="s">
        <v>1668</v>
      </c>
      <c r="B1005" s="26" t="s">
        <v>1669</v>
      </c>
      <c r="C1005" s="24" t="s">
        <v>49</v>
      </c>
      <c r="D1005" s="27">
        <v>48</v>
      </c>
      <c r="E1005" s="93">
        <f>7.4*(1.184419)</f>
        <v>8.7647006000000012</v>
      </c>
      <c r="F1005" s="93">
        <f>4.19*(1.184419)</f>
        <v>4.9627156100000009</v>
      </c>
      <c r="G1005" s="93">
        <f>0.26*(1.184419)</f>
        <v>0.30794894000000006</v>
      </c>
      <c r="H1005" s="104">
        <f t="shared" si="44"/>
        <v>14.035365150000001</v>
      </c>
      <c r="I1005" s="105">
        <f t="shared" si="45"/>
        <v>673.69752719999997</v>
      </c>
    </row>
    <row r="1006" spans="1:9" ht="42" thickBot="1" x14ac:dyDescent="0.35">
      <c r="A1006" s="23" t="s">
        <v>1670</v>
      </c>
      <c r="B1006" s="26" t="s">
        <v>1671</v>
      </c>
      <c r="C1006" s="24" t="s">
        <v>49</v>
      </c>
      <c r="D1006" s="27">
        <v>63</v>
      </c>
      <c r="E1006" s="93">
        <f>7.2*(1.184419)</f>
        <v>8.5278168000000019</v>
      </c>
      <c r="F1006" s="93">
        <f>5.44*(1.184419)</f>
        <v>6.4432393600000006</v>
      </c>
      <c r="G1006" s="93">
        <f>0.32*(1.184419)</f>
        <v>0.37901408000000003</v>
      </c>
      <c r="H1006" s="104">
        <f t="shared" si="44"/>
        <v>15.350070240000003</v>
      </c>
      <c r="I1006" s="105">
        <f t="shared" si="45"/>
        <v>967.05442512000013</v>
      </c>
    </row>
    <row r="1007" spans="1:9" ht="42" thickBot="1" x14ac:dyDescent="0.35">
      <c r="A1007" s="23" t="s">
        <v>1672</v>
      </c>
      <c r="B1007" s="26" t="s">
        <v>1673</v>
      </c>
      <c r="C1007" s="24" t="s">
        <v>49</v>
      </c>
      <c r="D1007" s="27">
        <v>7</v>
      </c>
      <c r="E1007" s="93">
        <f>17.69*(1.184419)</f>
        <v>20.952372110000002</v>
      </c>
      <c r="F1007" s="93">
        <f>10.47*(1.184419)</f>
        <v>12.400866930000001</v>
      </c>
      <c r="G1007" s="93">
        <f>0.64*(1.184419)</f>
        <v>0.75802816000000006</v>
      </c>
      <c r="H1007" s="104">
        <f t="shared" si="44"/>
        <v>34.111267200000007</v>
      </c>
      <c r="I1007" s="105">
        <f t="shared" si="45"/>
        <v>238.77887040000005</v>
      </c>
    </row>
    <row r="1008" spans="1:9" ht="42" thickBot="1" x14ac:dyDescent="0.35">
      <c r="A1008" s="23" t="s">
        <v>1674</v>
      </c>
      <c r="B1008" s="26" t="s">
        <v>1675</v>
      </c>
      <c r="C1008" s="24" t="s">
        <v>49</v>
      </c>
      <c r="D1008" s="27">
        <v>23</v>
      </c>
      <c r="E1008" s="93">
        <f>4.43*(1.184419)</f>
        <v>5.2469761699999999</v>
      </c>
      <c r="F1008" s="93">
        <f>4.19*(1.184419)</f>
        <v>4.9627156100000009</v>
      </c>
      <c r="G1008" s="93">
        <f>0.26*(1.184419)</f>
        <v>0.30794894000000006</v>
      </c>
      <c r="H1008" s="104">
        <f t="shared" si="44"/>
        <v>10.517640719999999</v>
      </c>
      <c r="I1008" s="105">
        <f t="shared" si="45"/>
        <v>241.90573655999998</v>
      </c>
    </row>
    <row r="1009" spans="1:9" ht="42" thickBot="1" x14ac:dyDescent="0.35">
      <c r="A1009" s="23" t="s">
        <v>1676</v>
      </c>
      <c r="B1009" s="26" t="s">
        <v>1677</v>
      </c>
      <c r="C1009" s="24" t="s">
        <v>49</v>
      </c>
      <c r="D1009" s="27">
        <v>13</v>
      </c>
      <c r="E1009" s="93">
        <f>7.91*(1.184419)</f>
        <v>9.3687542900000018</v>
      </c>
      <c r="F1009" s="93">
        <f>5.44*(1.184419)</f>
        <v>6.4432393600000006</v>
      </c>
      <c r="G1009" s="93">
        <f>0.32*(1.184419)</f>
        <v>0.37901408000000003</v>
      </c>
      <c r="H1009" s="104">
        <f t="shared" si="44"/>
        <v>16.191007730000003</v>
      </c>
      <c r="I1009" s="105">
        <f t="shared" si="45"/>
        <v>210.48310049000003</v>
      </c>
    </row>
    <row r="1010" spans="1:9" ht="42" thickBot="1" x14ac:dyDescent="0.35">
      <c r="A1010" s="23" t="s">
        <v>1678</v>
      </c>
      <c r="B1010" s="26" t="s">
        <v>1679</v>
      </c>
      <c r="C1010" s="24" t="s">
        <v>49</v>
      </c>
      <c r="D1010" s="27">
        <v>10</v>
      </c>
      <c r="E1010" s="93">
        <f>14.83*(1.184419)</f>
        <v>17.564933770000003</v>
      </c>
      <c r="F1010" s="93">
        <f>7.96*(1.184419)</f>
        <v>9.4279752400000003</v>
      </c>
      <c r="G1010" s="93">
        <f>0.48*(1.184419)</f>
        <v>0.56852111999999999</v>
      </c>
      <c r="H1010" s="104">
        <f t="shared" si="44"/>
        <v>27.561430130000005</v>
      </c>
      <c r="I1010" s="105">
        <f t="shared" si="45"/>
        <v>275.61430130000008</v>
      </c>
    </row>
    <row r="1011" spans="1:9" ht="42" thickBot="1" x14ac:dyDescent="0.35">
      <c r="A1011" s="23" t="s">
        <v>1680</v>
      </c>
      <c r="B1011" s="26" t="s">
        <v>1681</v>
      </c>
      <c r="C1011" s="24" t="s">
        <v>49</v>
      </c>
      <c r="D1011" s="27">
        <v>6</v>
      </c>
      <c r="E1011" s="93">
        <f>16.14*(1.184419)</f>
        <v>19.116522660000001</v>
      </c>
      <c r="F1011" s="93">
        <f>5.02*(1.184419)</f>
        <v>5.94578338</v>
      </c>
      <c r="G1011" s="93">
        <f>0.3*(1.184419)</f>
        <v>0.35532570000000002</v>
      </c>
      <c r="H1011" s="104">
        <f t="shared" si="44"/>
        <v>25.417631740000004</v>
      </c>
      <c r="I1011" s="105">
        <f t="shared" si="45"/>
        <v>152.50579044000003</v>
      </c>
    </row>
    <row r="1012" spans="1:9" ht="42" thickBot="1" x14ac:dyDescent="0.35">
      <c r="A1012" s="23" t="s">
        <v>1682</v>
      </c>
      <c r="B1012" s="26" t="s">
        <v>1683</v>
      </c>
      <c r="C1012" s="24" t="s">
        <v>49</v>
      </c>
      <c r="D1012" s="27">
        <v>4</v>
      </c>
      <c r="E1012" s="93">
        <f>11.9*(1.184419)</f>
        <v>14.094586100000003</v>
      </c>
      <c r="F1012" s="93">
        <f>2.93*(1.184419)</f>
        <v>3.4703476700000007</v>
      </c>
      <c r="G1012" s="93">
        <f>0.18*(1.184419)</f>
        <v>0.21319542000000002</v>
      </c>
      <c r="H1012" s="104">
        <f t="shared" si="44"/>
        <v>17.778129190000005</v>
      </c>
      <c r="I1012" s="105">
        <f t="shared" si="45"/>
        <v>71.11251676000002</v>
      </c>
    </row>
    <row r="1013" spans="1:9" ht="42" thickBot="1" x14ac:dyDescent="0.35">
      <c r="A1013" s="23" t="s">
        <v>1684</v>
      </c>
      <c r="B1013" s="26" t="s">
        <v>1685</v>
      </c>
      <c r="C1013" s="24" t="s">
        <v>49</v>
      </c>
      <c r="D1013" s="27">
        <v>2</v>
      </c>
      <c r="E1013" s="93">
        <f>17.71*(1.184419)</f>
        <v>20.976060490000002</v>
      </c>
      <c r="F1013" s="93">
        <f>7.12*(1.184419)</f>
        <v>8.4330632800000007</v>
      </c>
      <c r="G1013" s="93">
        <f>0.42*(1.184419)</f>
        <v>0.49745598000000002</v>
      </c>
      <c r="H1013" s="104">
        <f t="shared" si="44"/>
        <v>29.906579750000002</v>
      </c>
      <c r="I1013" s="105">
        <f t="shared" si="45"/>
        <v>59.813159500000005</v>
      </c>
    </row>
    <row r="1014" spans="1:9" ht="42" thickBot="1" x14ac:dyDescent="0.35">
      <c r="A1014" s="23" t="s">
        <v>1686</v>
      </c>
      <c r="B1014" s="26" t="s">
        <v>1391</v>
      </c>
      <c r="C1014" s="24" t="s">
        <v>49</v>
      </c>
      <c r="D1014" s="27">
        <v>2</v>
      </c>
      <c r="E1014" s="93">
        <f>52.52*(1.184419)</f>
        <v>62.205685880000011</v>
      </c>
      <c r="F1014" s="93">
        <f>3.35*(1.184419)</f>
        <v>3.9678036500000005</v>
      </c>
      <c r="G1014" s="93">
        <f>0.2*(1.184419)</f>
        <v>0.23688380000000003</v>
      </c>
      <c r="H1014" s="104">
        <f t="shared" si="44"/>
        <v>66.410373330000013</v>
      </c>
      <c r="I1014" s="105">
        <f t="shared" si="45"/>
        <v>132.82074666000003</v>
      </c>
    </row>
    <row r="1015" spans="1:9" ht="42" thickBot="1" x14ac:dyDescent="0.35">
      <c r="A1015" s="23" t="s">
        <v>1687</v>
      </c>
      <c r="B1015" s="26" t="s">
        <v>1395</v>
      </c>
      <c r="C1015" s="24" t="s">
        <v>49</v>
      </c>
      <c r="D1015" s="27">
        <v>4</v>
      </c>
      <c r="E1015" s="93">
        <f>78.98*(1.184419)</f>
        <v>93.545412620000008</v>
      </c>
      <c r="F1015" s="93">
        <f>5.44*(1.184419)</f>
        <v>6.4432393600000006</v>
      </c>
      <c r="G1015" s="93">
        <f>0.32*(1.184419)</f>
        <v>0.37901408000000003</v>
      </c>
      <c r="H1015" s="104">
        <f t="shared" si="44"/>
        <v>100.36766606000002</v>
      </c>
      <c r="I1015" s="105">
        <f t="shared" si="45"/>
        <v>401.47066424000008</v>
      </c>
    </row>
    <row r="1016" spans="1:9" ht="28.2" thickBot="1" x14ac:dyDescent="0.35">
      <c r="A1016" s="23" t="s">
        <v>1688</v>
      </c>
      <c r="B1016" s="26" t="s">
        <v>1689</v>
      </c>
      <c r="C1016" s="24" t="s">
        <v>49</v>
      </c>
      <c r="D1016" s="27">
        <v>6</v>
      </c>
      <c r="E1016" s="93">
        <f>24.87*(1.184419)</f>
        <v>29.456500530000003</v>
      </c>
      <c r="F1016" s="93">
        <f>14.94*(1.184419)</f>
        <v>17.695219860000002</v>
      </c>
      <c r="G1016" s="93">
        <f>0.04*(1.184419)</f>
        <v>4.7376760000000004E-2</v>
      </c>
      <c r="H1016" s="104">
        <f t="shared" si="44"/>
        <v>47.199097150000007</v>
      </c>
      <c r="I1016" s="105">
        <f t="shared" si="45"/>
        <v>283.19458290000006</v>
      </c>
    </row>
    <row r="1017" spans="1:9" ht="28.2" thickBot="1" x14ac:dyDescent="0.35">
      <c r="A1017" s="23" t="s">
        <v>1690</v>
      </c>
      <c r="B1017" s="26" t="s">
        <v>1691</v>
      </c>
      <c r="C1017" s="24" t="s">
        <v>49</v>
      </c>
      <c r="D1017" s="27">
        <v>7</v>
      </c>
      <c r="E1017" s="93">
        <f>32.28*(1.184419)</f>
        <v>38.233045320000002</v>
      </c>
      <c r="F1017" s="93">
        <f>18.58*(1.184419)</f>
        <v>22.006505019999999</v>
      </c>
      <c r="G1017" s="93">
        <f>0.05*(1.184419)</f>
        <v>5.9220950000000008E-2</v>
      </c>
      <c r="H1017" s="104">
        <f t="shared" si="44"/>
        <v>60.298771289999998</v>
      </c>
      <c r="I1017" s="105">
        <f t="shared" si="45"/>
        <v>422.09139902999999</v>
      </c>
    </row>
    <row r="1018" spans="1:9" ht="28.2" thickBot="1" x14ac:dyDescent="0.35">
      <c r="A1018" s="23" t="s">
        <v>1692</v>
      </c>
      <c r="B1018" s="26" t="s">
        <v>1693</v>
      </c>
      <c r="C1018" s="24" t="s">
        <v>49</v>
      </c>
      <c r="D1018" s="27">
        <v>7</v>
      </c>
      <c r="E1018" s="93">
        <f>42.12*(1.184419)</f>
        <v>49.887728280000005</v>
      </c>
      <c r="F1018" s="93">
        <f>18.58*(1.184419)</f>
        <v>22.006505019999999</v>
      </c>
      <c r="G1018" s="93">
        <f>0.05*(1.184419)</f>
        <v>5.9220950000000008E-2</v>
      </c>
      <c r="H1018" s="104">
        <f t="shared" si="44"/>
        <v>71.953454249999993</v>
      </c>
      <c r="I1018" s="105">
        <f t="shared" si="45"/>
        <v>503.67417974999995</v>
      </c>
    </row>
    <row r="1019" spans="1:9" ht="42" thickBot="1" x14ac:dyDescent="0.35">
      <c r="A1019" s="23" t="s">
        <v>1694</v>
      </c>
      <c r="B1019" s="26" t="s">
        <v>1695</v>
      </c>
      <c r="C1019" s="24" t="s">
        <v>49</v>
      </c>
      <c r="D1019" s="27">
        <v>6</v>
      </c>
      <c r="E1019" s="93">
        <f>7.99*(1.184419)</f>
        <v>9.4635078100000012</v>
      </c>
      <c r="F1019" s="93">
        <f>5.87*(1.184419)</f>
        <v>6.952539530000001</v>
      </c>
      <c r="G1019" s="93">
        <f>0.36*(1.184419)</f>
        <v>0.42639084000000005</v>
      </c>
      <c r="H1019" s="104">
        <f t="shared" si="44"/>
        <v>16.842438180000002</v>
      </c>
      <c r="I1019" s="105">
        <f t="shared" si="45"/>
        <v>101.05462908000001</v>
      </c>
    </row>
    <row r="1020" spans="1:9" ht="42" thickBot="1" x14ac:dyDescent="0.35">
      <c r="A1020" s="23" t="s">
        <v>1696</v>
      </c>
      <c r="B1020" s="26" t="s">
        <v>1697</v>
      </c>
      <c r="C1020" s="24" t="s">
        <v>49</v>
      </c>
      <c r="D1020" s="27">
        <v>19</v>
      </c>
      <c r="E1020" s="93">
        <f>15.7*(1.184419)</f>
        <v>18.5953783</v>
      </c>
      <c r="F1020" s="93">
        <f>7.12*(1.184419)</f>
        <v>8.4330632800000007</v>
      </c>
      <c r="G1020" s="93">
        <f>0.42*(1.184419)</f>
        <v>0.49745598000000002</v>
      </c>
      <c r="H1020" s="104">
        <f t="shared" si="44"/>
        <v>27.525897560000001</v>
      </c>
      <c r="I1020" s="105">
        <f t="shared" si="45"/>
        <v>522.99205363999999</v>
      </c>
    </row>
    <row r="1021" spans="1:9" ht="42" thickBot="1" x14ac:dyDescent="0.35">
      <c r="A1021" s="23" t="s">
        <v>1698</v>
      </c>
      <c r="B1021" s="26" t="s">
        <v>1699</v>
      </c>
      <c r="C1021" s="24" t="s">
        <v>49</v>
      </c>
      <c r="D1021" s="27">
        <v>7</v>
      </c>
      <c r="E1021" s="93">
        <f>81.24*(1.184419)</f>
        <v>96.222199560000007</v>
      </c>
      <c r="F1021" s="93">
        <f>15.41*(1.184419)</f>
        <v>18.251896790000004</v>
      </c>
      <c r="G1021" s="93">
        <f>0.92*(1.184419)</f>
        <v>1.0896654800000001</v>
      </c>
      <c r="H1021" s="104">
        <f t="shared" si="44"/>
        <v>115.56376183</v>
      </c>
      <c r="I1021" s="105">
        <f t="shared" si="45"/>
        <v>808.94633281000006</v>
      </c>
    </row>
    <row r="1022" spans="1:9" ht="42" thickBot="1" x14ac:dyDescent="0.35">
      <c r="A1022" s="23" t="s">
        <v>1700</v>
      </c>
      <c r="B1022" s="26" t="s">
        <v>1701</v>
      </c>
      <c r="C1022" s="24" t="s">
        <v>49</v>
      </c>
      <c r="D1022" s="27">
        <v>1</v>
      </c>
      <c r="E1022" s="93">
        <f>235.53*(1.184419)</f>
        <v>278.96620707000005</v>
      </c>
      <c r="F1022" s="93">
        <f>27.06*(1.184419)</f>
        <v>32.050378139999999</v>
      </c>
      <c r="G1022" s="93">
        <f>1.62*(1.184419)</f>
        <v>1.9187587800000003</v>
      </c>
      <c r="H1022" s="104">
        <f t="shared" si="44"/>
        <v>312.93534399000009</v>
      </c>
      <c r="I1022" s="105">
        <f t="shared" si="45"/>
        <v>312.93534399000009</v>
      </c>
    </row>
    <row r="1023" spans="1:9" ht="42" thickBot="1" x14ac:dyDescent="0.35">
      <c r="A1023" s="23" t="s">
        <v>1702</v>
      </c>
      <c r="B1023" s="26" t="s">
        <v>1703</v>
      </c>
      <c r="C1023" s="24" t="s">
        <v>49</v>
      </c>
      <c r="D1023" s="27">
        <v>95</v>
      </c>
      <c r="E1023" s="93">
        <f>7.05*(1.184419)</f>
        <v>8.350153950000001</v>
      </c>
      <c r="F1023" s="93">
        <f>3.35*(1.184419)</f>
        <v>3.9678036500000005</v>
      </c>
      <c r="G1023" s="93">
        <f>0.2*(1.184419)</f>
        <v>0.23688380000000003</v>
      </c>
      <c r="H1023" s="104">
        <f t="shared" si="44"/>
        <v>12.554841400000001</v>
      </c>
      <c r="I1023" s="105">
        <f t="shared" si="45"/>
        <v>1192.7099330000001</v>
      </c>
    </row>
    <row r="1024" spans="1:9" ht="42" thickBot="1" x14ac:dyDescent="0.35">
      <c r="A1024" s="23" t="s">
        <v>1704</v>
      </c>
      <c r="B1024" s="26" t="s">
        <v>1705</v>
      </c>
      <c r="C1024" s="24" t="s">
        <v>49</v>
      </c>
      <c r="D1024" s="27">
        <v>24</v>
      </c>
      <c r="E1024" s="93">
        <f>11.92*(1.184419)</f>
        <v>14.118274480000002</v>
      </c>
      <c r="F1024" s="93">
        <f>5.44*(1.184419)</f>
        <v>6.4432393600000006</v>
      </c>
      <c r="G1024" s="93">
        <f>0.32*(1.184419)</f>
        <v>0.37901408000000003</v>
      </c>
      <c r="H1024" s="104">
        <f t="shared" si="44"/>
        <v>20.940527920000005</v>
      </c>
      <c r="I1024" s="105">
        <f t="shared" si="45"/>
        <v>502.57267008000008</v>
      </c>
    </row>
    <row r="1025" spans="1:9" ht="42" thickBot="1" x14ac:dyDescent="0.35">
      <c r="A1025" s="23" t="s">
        <v>1706</v>
      </c>
      <c r="B1025" s="26" t="s">
        <v>1707</v>
      </c>
      <c r="C1025" s="24" t="s">
        <v>49</v>
      </c>
      <c r="D1025" s="27">
        <v>31</v>
      </c>
      <c r="E1025" s="93">
        <f>14.41*(1.184419)</f>
        <v>17.067477790000002</v>
      </c>
      <c r="F1025" s="93">
        <f>6.7*(1.184419)</f>
        <v>7.9356073000000009</v>
      </c>
      <c r="G1025" s="93">
        <f>0.4*(1.184419)</f>
        <v>0.47376760000000007</v>
      </c>
      <c r="H1025" s="104">
        <f t="shared" si="44"/>
        <v>25.476852690000001</v>
      </c>
      <c r="I1025" s="105">
        <f t="shared" si="45"/>
        <v>789.78243339000005</v>
      </c>
    </row>
    <row r="1026" spans="1:9" ht="28.2" thickBot="1" x14ac:dyDescent="0.35">
      <c r="A1026" s="23" t="s">
        <v>1708</v>
      </c>
      <c r="B1026" s="26" t="s">
        <v>1709</v>
      </c>
      <c r="C1026" s="24" t="s">
        <v>49</v>
      </c>
      <c r="D1026" s="27">
        <v>8</v>
      </c>
      <c r="E1026" s="93">
        <f>8.64*(1.184419)</f>
        <v>10.233380160000001</v>
      </c>
      <c r="F1026" s="93">
        <f>4.84*(1.184419)</f>
        <v>5.73258796</v>
      </c>
      <c r="G1026" s="93">
        <f>0.01*(1.184419)</f>
        <v>1.1844190000000001E-2</v>
      </c>
      <c r="H1026" s="104">
        <f t="shared" si="44"/>
        <v>15.977812310000001</v>
      </c>
      <c r="I1026" s="105">
        <f t="shared" si="45"/>
        <v>127.82249848000001</v>
      </c>
    </row>
    <row r="1027" spans="1:9" ht="28.2" thickBot="1" x14ac:dyDescent="0.35">
      <c r="A1027" s="23" t="s">
        <v>1710</v>
      </c>
      <c r="B1027" s="26" t="s">
        <v>1711</v>
      </c>
      <c r="C1027" s="24" t="s">
        <v>49</v>
      </c>
      <c r="D1027" s="27">
        <v>2</v>
      </c>
      <c r="E1027" s="93">
        <f>13.54*(1.184419)</f>
        <v>16.037033260000001</v>
      </c>
      <c r="F1027" s="93">
        <f>7.27*(1.184419)</f>
        <v>8.6107261299999998</v>
      </c>
      <c r="G1027" s="93">
        <f>0.02*(1.184419)</f>
        <v>2.3688380000000002E-2</v>
      </c>
      <c r="H1027" s="104">
        <f t="shared" si="44"/>
        <v>24.67144777</v>
      </c>
      <c r="I1027" s="105">
        <f t="shared" si="45"/>
        <v>49.342895540000001</v>
      </c>
    </row>
    <row r="1028" spans="1:9" ht="28.2" thickBot="1" x14ac:dyDescent="0.35">
      <c r="A1028" s="23" t="s">
        <v>1712</v>
      </c>
      <c r="B1028" s="26" t="s">
        <v>1713</v>
      </c>
      <c r="C1028" s="24" t="s">
        <v>49</v>
      </c>
      <c r="D1028" s="27">
        <v>2</v>
      </c>
      <c r="E1028" s="93">
        <f>15.73*(1.184419)</f>
        <v>18.630910870000001</v>
      </c>
      <c r="F1028" s="93">
        <f>9.29*(1.184419)</f>
        <v>11.003252509999999</v>
      </c>
      <c r="G1028" s="93">
        <f>0.03*(1.184419)</f>
        <v>3.5532569999999999E-2</v>
      </c>
      <c r="H1028" s="104">
        <f t="shared" si="44"/>
        <v>29.669695950000001</v>
      </c>
      <c r="I1028" s="105">
        <f t="shared" si="45"/>
        <v>59.339391900000003</v>
      </c>
    </row>
    <row r="1029" spans="1:9" ht="28.2" thickBot="1" x14ac:dyDescent="0.35">
      <c r="A1029" s="23" t="s">
        <v>1714</v>
      </c>
      <c r="B1029" s="26" t="s">
        <v>1715</v>
      </c>
      <c r="C1029" s="24" t="s">
        <v>49</v>
      </c>
      <c r="D1029" s="27">
        <v>1</v>
      </c>
      <c r="E1029" s="93">
        <f>15.42*(1.184419)</f>
        <v>18.263740980000001</v>
      </c>
      <c r="F1029" s="93">
        <f>9.29*(1.184419)</f>
        <v>11.003252509999999</v>
      </c>
      <c r="G1029" s="93">
        <f>0.03*(1.184419)</f>
        <v>3.5532569999999999E-2</v>
      </c>
      <c r="H1029" s="104">
        <f t="shared" si="44"/>
        <v>29.302526060000002</v>
      </c>
      <c r="I1029" s="105">
        <f t="shared" si="45"/>
        <v>29.302526060000002</v>
      </c>
    </row>
    <row r="1030" spans="1:9" ht="15" thickBot="1" x14ac:dyDescent="0.35">
      <c r="A1030" s="30"/>
      <c r="B1030" s="26"/>
      <c r="C1030" s="26"/>
      <c r="D1030" s="26"/>
      <c r="E1030" s="93"/>
      <c r="F1030" s="93"/>
      <c r="G1030" s="93"/>
      <c r="H1030" s="104"/>
      <c r="I1030" s="105"/>
    </row>
    <row r="1031" spans="1:9" ht="15" thickBot="1" x14ac:dyDescent="0.35">
      <c r="A1031" s="40" t="s">
        <v>1716</v>
      </c>
      <c r="B1031" s="41" t="s">
        <v>1717</v>
      </c>
      <c r="C1031" s="26"/>
      <c r="D1031" s="26"/>
      <c r="E1031" s="93"/>
      <c r="F1031" s="93"/>
      <c r="G1031" s="93"/>
      <c r="H1031" s="104"/>
      <c r="I1031" s="119">
        <f>SUM(I1032:I1034)</f>
        <v>442.73582220000003</v>
      </c>
    </row>
    <row r="1032" spans="1:9" ht="28.2" thickBot="1" x14ac:dyDescent="0.35">
      <c r="A1032" s="23" t="s">
        <v>1718</v>
      </c>
      <c r="B1032" s="26" t="s">
        <v>1719</v>
      </c>
      <c r="C1032" s="24" t="s">
        <v>135</v>
      </c>
      <c r="D1032" s="27">
        <v>2</v>
      </c>
      <c r="E1032" s="93">
        <f>6.6*(1.184419)</f>
        <v>7.8171654000000004</v>
      </c>
      <c r="F1032" s="93">
        <f>4.74*(1.184419)</f>
        <v>5.6141460600000004</v>
      </c>
      <c r="G1032" s="93">
        <f>0.28*(1.184419)</f>
        <v>0.33163732000000007</v>
      </c>
      <c r="H1032" s="104">
        <f t="shared" ref="H1032:H1092" si="46">E1032+F1032+G1032</f>
        <v>13.76294878</v>
      </c>
      <c r="I1032" s="105">
        <f t="shared" ref="I1032:I1092" si="47">H1032*D1032</f>
        <v>27.525897560000001</v>
      </c>
    </row>
    <row r="1033" spans="1:9" ht="28.2" thickBot="1" x14ac:dyDescent="0.35">
      <c r="A1033" s="23" t="s">
        <v>1720</v>
      </c>
      <c r="B1033" s="26" t="s">
        <v>1721</v>
      </c>
      <c r="C1033" s="24" t="s">
        <v>49</v>
      </c>
      <c r="D1033" s="27">
        <v>8</v>
      </c>
      <c r="E1033" s="93">
        <f>15.98*(1.184419)</f>
        <v>18.927015620000002</v>
      </c>
      <c r="F1033" s="93">
        <f>14.53*(1.184419)</f>
        <v>17.209608070000002</v>
      </c>
      <c r="G1033" s="93">
        <f>0.88*(1.184419)</f>
        <v>1.0422887200000002</v>
      </c>
      <c r="H1033" s="104">
        <f t="shared" si="46"/>
        <v>37.178912410000009</v>
      </c>
      <c r="I1033" s="105">
        <f t="shared" si="47"/>
        <v>297.43129928000008</v>
      </c>
    </row>
    <row r="1034" spans="1:9" ht="28.2" thickBot="1" x14ac:dyDescent="0.35">
      <c r="A1034" s="23" t="s">
        <v>1722</v>
      </c>
      <c r="B1034" s="26" t="s">
        <v>1723</v>
      </c>
      <c r="C1034" s="24" t="s">
        <v>49</v>
      </c>
      <c r="D1034" s="27">
        <v>8</v>
      </c>
      <c r="E1034" s="93">
        <f>10.66*(1.184419)</f>
        <v>12.625906540000001</v>
      </c>
      <c r="F1034" s="93">
        <f>1.67*(1.184419)</f>
        <v>1.9779797300000002</v>
      </c>
      <c r="G1034" s="93">
        <f>0.1*(1.184419)</f>
        <v>0.11844190000000002</v>
      </c>
      <c r="H1034" s="104">
        <f t="shared" si="46"/>
        <v>14.722328170000001</v>
      </c>
      <c r="I1034" s="105">
        <f t="shared" si="47"/>
        <v>117.77862536000001</v>
      </c>
    </row>
    <row r="1035" spans="1:9" ht="15" thickBot="1" x14ac:dyDescent="0.35">
      <c r="A1035" s="30"/>
      <c r="B1035" s="26"/>
      <c r="C1035" s="26"/>
      <c r="D1035" s="26"/>
      <c r="E1035" s="93"/>
      <c r="F1035" s="93"/>
      <c r="G1035" s="93"/>
      <c r="H1035" s="104"/>
      <c r="I1035" s="105"/>
    </row>
    <row r="1036" spans="1:9" ht="15" thickBot="1" x14ac:dyDescent="0.35">
      <c r="A1036" s="40" t="s">
        <v>1724</v>
      </c>
      <c r="B1036" s="41" t="s">
        <v>1725</v>
      </c>
      <c r="C1036" s="26"/>
      <c r="D1036" s="26"/>
      <c r="E1036" s="93"/>
      <c r="F1036" s="93"/>
      <c r="G1036" s="93"/>
      <c r="H1036" s="104"/>
      <c r="I1036" s="119">
        <f>I1037</f>
        <v>2508.8363258000004</v>
      </c>
    </row>
    <row r="1037" spans="1:9" ht="15" thickBot="1" x14ac:dyDescent="0.35">
      <c r="A1037" s="23" t="s">
        <v>1726</v>
      </c>
      <c r="B1037" s="26" t="s">
        <v>1727</v>
      </c>
      <c r="C1037" s="24" t="s">
        <v>1728</v>
      </c>
      <c r="D1037" s="27">
        <v>70</v>
      </c>
      <c r="E1037" s="93">
        <f>6.96*(1.184419)</f>
        <v>8.2435562400000002</v>
      </c>
      <c r="F1037" s="93">
        <f>21.55*(1.184419)</f>
        <v>25.524229450000004</v>
      </c>
      <c r="G1037" s="93">
        <f>1.75*(1.184419)</f>
        <v>2.0727332500000002</v>
      </c>
      <c r="H1037" s="104">
        <f t="shared" si="46"/>
        <v>35.840518940000003</v>
      </c>
      <c r="I1037" s="105">
        <f t="shared" si="47"/>
        <v>2508.8363258000004</v>
      </c>
    </row>
    <row r="1038" spans="1:9" ht="15" thickBot="1" x14ac:dyDescent="0.35">
      <c r="A1038" s="30"/>
      <c r="B1038" s="26"/>
      <c r="C1038" s="26"/>
      <c r="D1038" s="26"/>
      <c r="E1038" s="93"/>
      <c r="F1038" s="93"/>
      <c r="G1038" s="93"/>
      <c r="H1038" s="104"/>
      <c r="I1038" s="105"/>
    </row>
    <row r="1039" spans="1:9" ht="15" thickBot="1" x14ac:dyDescent="0.35">
      <c r="A1039" s="40" t="s">
        <v>1729</v>
      </c>
      <c r="B1039" s="42" t="s">
        <v>1730</v>
      </c>
      <c r="C1039" s="26"/>
      <c r="D1039" s="26"/>
      <c r="E1039" s="93"/>
      <c r="F1039" s="93"/>
      <c r="G1039" s="93"/>
      <c r="H1039" s="104"/>
      <c r="I1039" s="119">
        <f>I1040+I1041</f>
        <v>558.63122135000003</v>
      </c>
    </row>
    <row r="1040" spans="1:9" ht="28.2" thickBot="1" x14ac:dyDescent="0.35">
      <c r="A1040" s="23" t="s">
        <v>1731</v>
      </c>
      <c r="B1040" s="26" t="s">
        <v>1732</v>
      </c>
      <c r="C1040" s="24" t="s">
        <v>49</v>
      </c>
      <c r="D1040" s="27">
        <v>1</v>
      </c>
      <c r="E1040" s="93">
        <f>95.63*(1.184419)</f>
        <v>113.26598897000001</v>
      </c>
      <c r="F1040" s="93">
        <f>14.34*(1.184419)</f>
        <v>16.984568460000002</v>
      </c>
      <c r="G1040" s="93"/>
      <c r="H1040" s="104">
        <f t="shared" si="46"/>
        <v>130.25055743000001</v>
      </c>
      <c r="I1040" s="105">
        <f t="shared" si="47"/>
        <v>130.25055743000001</v>
      </c>
    </row>
    <row r="1041" spans="1:9" ht="28.2" thickBot="1" x14ac:dyDescent="0.35">
      <c r="A1041" s="23" t="s">
        <v>1733</v>
      </c>
      <c r="B1041" s="26" t="s">
        <v>1734</v>
      </c>
      <c r="C1041" s="24" t="s">
        <v>49</v>
      </c>
      <c r="D1041" s="27">
        <v>2</v>
      </c>
      <c r="E1041" s="93">
        <f>161.71*(1.184419)</f>
        <v>191.53239649000002</v>
      </c>
      <c r="F1041" s="93">
        <f>19.13*(1.184419)</f>
        <v>22.657935470000002</v>
      </c>
      <c r="G1041" s="93"/>
      <c r="H1041" s="104">
        <f t="shared" si="46"/>
        <v>214.19033196000004</v>
      </c>
      <c r="I1041" s="105">
        <f t="shared" si="47"/>
        <v>428.38066392000007</v>
      </c>
    </row>
    <row r="1042" spans="1:9" ht="15" thickBot="1" x14ac:dyDescent="0.35">
      <c r="A1042" s="30"/>
      <c r="B1042" s="26"/>
      <c r="C1042" s="26"/>
      <c r="D1042" s="26"/>
      <c r="E1042" s="93"/>
      <c r="F1042" s="93"/>
      <c r="G1042" s="93"/>
      <c r="H1042" s="104"/>
      <c r="I1042" s="105"/>
    </row>
    <row r="1043" spans="1:9" ht="15" thickBot="1" x14ac:dyDescent="0.35">
      <c r="A1043" s="40" t="s">
        <v>1735</v>
      </c>
      <c r="B1043" s="41" t="s">
        <v>484</v>
      </c>
      <c r="C1043" s="26"/>
      <c r="D1043" s="26"/>
      <c r="E1043" s="93"/>
      <c r="F1043" s="93"/>
      <c r="G1043" s="93"/>
      <c r="H1043" s="104"/>
      <c r="I1043" s="119">
        <f>SUM(I1044:I1048)</f>
        <v>2849.8424000900004</v>
      </c>
    </row>
    <row r="1044" spans="1:9" ht="28.2" thickBot="1" x14ac:dyDescent="0.35">
      <c r="A1044" s="23" t="s">
        <v>1736</v>
      </c>
      <c r="B1044" s="26" t="s">
        <v>1737</v>
      </c>
      <c r="C1044" s="24" t="s">
        <v>49</v>
      </c>
      <c r="D1044" s="27">
        <v>4</v>
      </c>
      <c r="E1044" s="93">
        <f>170.08*(1.184419)</f>
        <v>201.44598352000003</v>
      </c>
      <c r="F1044" s="93">
        <f>7.99*(1.184419)</f>
        <v>9.4635078100000012</v>
      </c>
      <c r="G1044" s="93">
        <f>0.49*(1.184419)</f>
        <v>0.58036531000000002</v>
      </c>
      <c r="H1044" s="104">
        <f t="shared" si="46"/>
        <v>211.48985664000003</v>
      </c>
      <c r="I1044" s="105">
        <f t="shared" si="47"/>
        <v>845.95942656000011</v>
      </c>
    </row>
    <row r="1045" spans="1:9" ht="15" thickBot="1" x14ac:dyDescent="0.35">
      <c r="A1045" s="23" t="s">
        <v>1738</v>
      </c>
      <c r="B1045" s="26" t="s">
        <v>1739</v>
      </c>
      <c r="C1045" s="24" t="s">
        <v>49</v>
      </c>
      <c r="D1045" s="27">
        <v>7</v>
      </c>
      <c r="E1045" s="93">
        <f>183.41*(1.184419)</f>
        <v>217.23428879000002</v>
      </c>
      <c r="F1045" s="93">
        <f>26.25*(1.184419)</f>
        <v>31.090998750000004</v>
      </c>
      <c r="G1045" s="93">
        <f>0.07*(1.184419)</f>
        <v>8.2909330000000017E-2</v>
      </c>
      <c r="H1045" s="104">
        <f t="shared" si="46"/>
        <v>248.40819687000004</v>
      </c>
      <c r="I1045" s="105">
        <f t="shared" si="47"/>
        <v>1738.8573780900003</v>
      </c>
    </row>
    <row r="1046" spans="1:9" ht="15" thickBot="1" x14ac:dyDescent="0.35">
      <c r="A1046" s="23" t="s">
        <v>1740</v>
      </c>
      <c r="B1046" s="26" t="s">
        <v>1741</v>
      </c>
      <c r="C1046" s="24" t="s">
        <v>1742</v>
      </c>
      <c r="D1046" s="27">
        <v>1</v>
      </c>
      <c r="E1046" s="93">
        <f>24.47*(1.184419)</f>
        <v>28.982732930000001</v>
      </c>
      <c r="F1046" s="93">
        <f>8.81*(1.184419)</f>
        <v>10.434731390000001</v>
      </c>
      <c r="G1046" s="93"/>
      <c r="H1046" s="104">
        <f t="shared" si="46"/>
        <v>39.417464320000001</v>
      </c>
      <c r="I1046" s="105">
        <f t="shared" si="47"/>
        <v>39.417464320000001</v>
      </c>
    </row>
    <row r="1047" spans="1:9" ht="28.2" thickBot="1" x14ac:dyDescent="0.35">
      <c r="A1047" s="23" t="s">
        <v>1743</v>
      </c>
      <c r="B1047" s="26" t="s">
        <v>1744</v>
      </c>
      <c r="C1047" s="24" t="s">
        <v>49</v>
      </c>
      <c r="D1047" s="27">
        <v>4</v>
      </c>
      <c r="E1047" s="93">
        <f>21.85*(1.184419)</f>
        <v>25.879555150000005</v>
      </c>
      <c r="F1047" s="93">
        <f>9.29*(1.184419)</f>
        <v>11.003252509999999</v>
      </c>
      <c r="G1047" s="93">
        <f>0.03*(1.184419)</f>
        <v>3.5532569999999999E-2</v>
      </c>
      <c r="H1047" s="104">
        <f t="shared" si="46"/>
        <v>36.918340230000005</v>
      </c>
      <c r="I1047" s="105">
        <f t="shared" si="47"/>
        <v>147.67336092000002</v>
      </c>
    </row>
    <row r="1048" spans="1:9" ht="28.2" thickBot="1" x14ac:dyDescent="0.35">
      <c r="A1048" s="23" t="s">
        <v>1745</v>
      </c>
      <c r="B1048" s="26" t="s">
        <v>1746</v>
      </c>
      <c r="C1048" s="24" t="s">
        <v>49</v>
      </c>
      <c r="D1048" s="27">
        <v>5</v>
      </c>
      <c r="E1048" s="93">
        <f>10.32*(1.184419)</f>
        <v>12.223204080000002</v>
      </c>
      <c r="F1048" s="93">
        <f>2.83*(1.184419)</f>
        <v>3.3519057700000006</v>
      </c>
      <c r="G1048" s="93">
        <f>0.01*(1.184419)</f>
        <v>1.1844190000000001E-2</v>
      </c>
      <c r="H1048" s="104">
        <f t="shared" si="46"/>
        <v>15.586954040000002</v>
      </c>
      <c r="I1048" s="105">
        <f t="shared" si="47"/>
        <v>77.934770200000003</v>
      </c>
    </row>
    <row r="1049" spans="1:9" ht="15" thickBot="1" x14ac:dyDescent="0.35">
      <c r="A1049" s="30"/>
      <c r="B1049" s="26"/>
      <c r="C1049" s="26"/>
      <c r="D1049" s="26"/>
      <c r="E1049" s="93"/>
      <c r="F1049" s="93"/>
      <c r="G1049" s="93"/>
      <c r="H1049" s="104"/>
      <c r="I1049" s="105"/>
    </row>
    <row r="1050" spans="1:9" ht="15" thickBot="1" x14ac:dyDescent="0.35">
      <c r="A1050" s="40" t="s">
        <v>1747</v>
      </c>
      <c r="B1050" s="41" t="s">
        <v>1458</v>
      </c>
      <c r="C1050" s="26"/>
      <c r="D1050" s="26"/>
      <c r="E1050" s="93"/>
      <c r="F1050" s="93"/>
      <c r="G1050" s="93"/>
      <c r="H1050" s="104"/>
      <c r="I1050" s="119">
        <f>SUM(I1051:I1053)</f>
        <v>6252.3110172000015</v>
      </c>
    </row>
    <row r="1051" spans="1:9" ht="15" thickBot="1" x14ac:dyDescent="0.35">
      <c r="A1051" s="23" t="s">
        <v>1748</v>
      </c>
      <c r="B1051" s="26" t="s">
        <v>1749</v>
      </c>
      <c r="C1051" s="24" t="s">
        <v>49</v>
      </c>
      <c r="D1051" s="27">
        <v>7</v>
      </c>
      <c r="E1051" s="93">
        <f>30.88*(1.184419)</f>
        <v>36.574858720000002</v>
      </c>
      <c r="F1051" s="93">
        <f>18.82*(1.184419)</f>
        <v>22.290765580000002</v>
      </c>
      <c r="G1051" s="93"/>
      <c r="H1051" s="104">
        <f t="shared" si="46"/>
        <v>58.865624300000007</v>
      </c>
      <c r="I1051" s="105">
        <f t="shared" si="47"/>
        <v>412.05937010000002</v>
      </c>
    </row>
    <row r="1052" spans="1:9" ht="42" thickBot="1" x14ac:dyDescent="0.35">
      <c r="A1052" s="23" t="s">
        <v>1750</v>
      </c>
      <c r="B1052" s="26" t="s">
        <v>1751</v>
      </c>
      <c r="C1052" s="24" t="s">
        <v>49</v>
      </c>
      <c r="D1052" s="27">
        <v>11</v>
      </c>
      <c r="E1052" s="93">
        <f>104.87*(1.184419)</f>
        <v>124.21002053000002</v>
      </c>
      <c r="F1052" s="93">
        <f>15.91*(1.184419)</f>
        <v>18.844106290000003</v>
      </c>
      <c r="G1052" s="93">
        <f>0.96*(1.184419)</f>
        <v>1.13704224</v>
      </c>
      <c r="H1052" s="104">
        <f t="shared" si="46"/>
        <v>144.19116906000002</v>
      </c>
      <c r="I1052" s="105">
        <f t="shared" si="47"/>
        <v>1586.1028596600001</v>
      </c>
    </row>
    <row r="1053" spans="1:9" ht="28.2" thickBot="1" x14ac:dyDescent="0.35">
      <c r="A1053" s="23" t="s">
        <v>1752</v>
      </c>
      <c r="B1053" s="26" t="s">
        <v>1468</v>
      </c>
      <c r="C1053" s="24" t="s">
        <v>49</v>
      </c>
      <c r="D1053" s="27">
        <v>8</v>
      </c>
      <c r="E1053" s="93">
        <f>384.3*(1.184419)</f>
        <v>455.17222170000008</v>
      </c>
      <c r="F1053" s="93">
        <f>64.67*(1.184419)</f>
        <v>76.596376730000003</v>
      </c>
      <c r="G1053" s="93"/>
      <c r="H1053" s="104">
        <f t="shared" si="46"/>
        <v>531.76859843000011</v>
      </c>
      <c r="I1053" s="105">
        <f t="shared" si="47"/>
        <v>4254.1487874400009</v>
      </c>
    </row>
    <row r="1054" spans="1:9" ht="15" thickBot="1" x14ac:dyDescent="0.35">
      <c r="A1054" s="30"/>
      <c r="B1054" s="26"/>
      <c r="C1054" s="26"/>
      <c r="D1054" s="26"/>
      <c r="E1054" s="93"/>
      <c r="F1054" s="93"/>
      <c r="G1054" s="93"/>
      <c r="H1054" s="104"/>
      <c r="I1054" s="105"/>
    </row>
    <row r="1055" spans="1:9" ht="15" thickBot="1" x14ac:dyDescent="0.35">
      <c r="A1055" s="40" t="s">
        <v>1753</v>
      </c>
      <c r="B1055" s="41" t="s">
        <v>1458</v>
      </c>
      <c r="C1055" s="26"/>
      <c r="D1055" s="26"/>
      <c r="E1055" s="93"/>
      <c r="F1055" s="93"/>
      <c r="G1055" s="93"/>
      <c r="H1055" s="104"/>
      <c r="I1055" s="119">
        <f>SUM(I1056:I1067)</f>
        <v>3600.7012718830001</v>
      </c>
    </row>
    <row r="1056" spans="1:9" ht="28.2" thickBot="1" x14ac:dyDescent="0.35">
      <c r="A1056" s="23" t="s">
        <v>1754</v>
      </c>
      <c r="B1056" s="26" t="s">
        <v>141</v>
      </c>
      <c r="C1056" s="24" t="s">
        <v>103</v>
      </c>
      <c r="D1056" s="27">
        <v>5.67</v>
      </c>
      <c r="E1056" s="93">
        <f>24.52*(1.184419)</f>
        <v>29.041953880000001</v>
      </c>
      <c r="F1056" s="93">
        <f>81.2*(1.184419)</f>
        <v>96.174822800000015</v>
      </c>
      <c r="G1056" s="93">
        <f>7.4*(1.184419)</f>
        <v>8.7647006000000012</v>
      </c>
      <c r="H1056" s="104">
        <f t="shared" si="46"/>
        <v>133.98147728000001</v>
      </c>
      <c r="I1056" s="105">
        <f t="shared" si="47"/>
        <v>759.6749761776</v>
      </c>
    </row>
    <row r="1057" spans="1:9" ht="28.2" thickBot="1" x14ac:dyDescent="0.35">
      <c r="A1057" s="23" t="s">
        <v>1755</v>
      </c>
      <c r="B1057" s="26" t="s">
        <v>143</v>
      </c>
      <c r="C1057" s="24" t="s">
        <v>103</v>
      </c>
      <c r="D1057" s="27">
        <v>4.37</v>
      </c>
      <c r="E1057" s="93">
        <f>10.48*(1.184419)</f>
        <v>12.412711120000001</v>
      </c>
      <c r="F1057" s="93">
        <f>26.69*(1.184419)</f>
        <v>31.612143110000005</v>
      </c>
      <c r="G1057" s="93">
        <f>2.73*(1.184419)</f>
        <v>3.2334638700000005</v>
      </c>
      <c r="H1057" s="104">
        <f t="shared" si="46"/>
        <v>47.258318100000004</v>
      </c>
      <c r="I1057" s="105">
        <f t="shared" si="47"/>
        <v>206.51885009700001</v>
      </c>
    </row>
    <row r="1058" spans="1:9" ht="42" thickBot="1" x14ac:dyDescent="0.35">
      <c r="A1058" s="23" t="s">
        <v>1756</v>
      </c>
      <c r="B1058" s="26" t="s">
        <v>122</v>
      </c>
      <c r="C1058" s="24" t="s">
        <v>103</v>
      </c>
      <c r="D1058" s="27">
        <v>5.9</v>
      </c>
      <c r="E1058" s="93">
        <f>3.77*(1.184419)</f>
        <v>4.4652596300000003</v>
      </c>
      <c r="F1058" s="93">
        <f>1.73*(1.184419)</f>
        <v>2.0490448700000004</v>
      </c>
      <c r="G1058" s="93">
        <f>3.61*(1.184419)</f>
        <v>4.2757525900000006</v>
      </c>
      <c r="H1058" s="104">
        <f t="shared" si="46"/>
        <v>10.790057090000001</v>
      </c>
      <c r="I1058" s="105">
        <f t="shared" si="47"/>
        <v>63.661336831000014</v>
      </c>
    </row>
    <row r="1059" spans="1:9" ht="28.2" thickBot="1" x14ac:dyDescent="0.35">
      <c r="A1059" s="23" t="s">
        <v>1757</v>
      </c>
      <c r="B1059" s="26" t="s">
        <v>124</v>
      </c>
      <c r="C1059" s="24" t="s">
        <v>125</v>
      </c>
      <c r="D1059" s="27">
        <v>176.99</v>
      </c>
      <c r="E1059" s="93">
        <f>1.51*(1.184419)</f>
        <v>1.7884726900000001</v>
      </c>
      <c r="F1059" s="93">
        <f>0.27*(1.184419)</f>
        <v>0.31979313000000004</v>
      </c>
      <c r="G1059" s="93">
        <f>0.64*(1.184419)</f>
        <v>0.75802816000000006</v>
      </c>
      <c r="H1059" s="104">
        <f t="shared" si="46"/>
        <v>2.86629398</v>
      </c>
      <c r="I1059" s="105">
        <f t="shared" si="47"/>
        <v>507.30537152020003</v>
      </c>
    </row>
    <row r="1060" spans="1:9" ht="42" thickBot="1" x14ac:dyDescent="0.35">
      <c r="A1060" s="23" t="s">
        <v>1758</v>
      </c>
      <c r="B1060" s="26" t="s">
        <v>127</v>
      </c>
      <c r="C1060" s="24" t="s">
        <v>125</v>
      </c>
      <c r="D1060" s="27">
        <v>59</v>
      </c>
      <c r="E1060" s="93">
        <f>0.6*(1.184419)</f>
        <v>0.71065140000000004</v>
      </c>
      <c r="F1060" s="93">
        <f>0.1*(1.184419)</f>
        <v>0.11844190000000002</v>
      </c>
      <c r="G1060" s="93">
        <f>0.26*(1.184419)</f>
        <v>0.30794894000000006</v>
      </c>
      <c r="H1060" s="104">
        <f t="shared" si="46"/>
        <v>1.13704224</v>
      </c>
      <c r="I1060" s="105">
        <f t="shared" si="47"/>
        <v>67.085492160000001</v>
      </c>
    </row>
    <row r="1061" spans="1:9" ht="15" thickBot="1" x14ac:dyDescent="0.35">
      <c r="A1061" s="23" t="s">
        <v>1759</v>
      </c>
      <c r="B1061" s="26" t="s">
        <v>356</v>
      </c>
      <c r="C1061" s="24" t="s">
        <v>103</v>
      </c>
      <c r="D1061" s="27">
        <v>0.24</v>
      </c>
      <c r="E1061" s="93">
        <f>28.96*(1.184419)</f>
        <v>34.300774240000003</v>
      </c>
      <c r="F1061" s="93">
        <f>86.39*(1.184419)</f>
        <v>102.32195741000001</v>
      </c>
      <c r="G1061" s="93">
        <f>8.57*(1.184419)</f>
        <v>10.150470830000001</v>
      </c>
      <c r="H1061" s="104">
        <f t="shared" si="46"/>
        <v>146.77320248000001</v>
      </c>
      <c r="I1061" s="105">
        <f t="shared" si="47"/>
        <v>35.225568595200002</v>
      </c>
    </row>
    <row r="1062" spans="1:9" ht="28.2" thickBot="1" x14ac:dyDescent="0.35">
      <c r="A1062" s="23" t="s">
        <v>1760</v>
      </c>
      <c r="B1062" s="26" t="s">
        <v>170</v>
      </c>
      <c r="C1062" s="24" t="s">
        <v>103</v>
      </c>
      <c r="D1062" s="27">
        <v>0.11</v>
      </c>
      <c r="E1062" s="93">
        <f>336.02*(1.184419)</f>
        <v>397.98847238000002</v>
      </c>
      <c r="F1062" s="93">
        <f>250.63*(1.184419)</f>
        <v>296.85093397000003</v>
      </c>
      <c r="G1062" s="93">
        <f>22.5*(1.184419)</f>
        <v>26.649427500000002</v>
      </c>
      <c r="H1062" s="104">
        <f t="shared" si="46"/>
        <v>721.48883384999999</v>
      </c>
      <c r="I1062" s="105">
        <f t="shared" si="47"/>
        <v>79.363771723499994</v>
      </c>
    </row>
    <row r="1063" spans="1:9" ht="15" thickBot="1" x14ac:dyDescent="0.35">
      <c r="A1063" s="23" t="s">
        <v>1761</v>
      </c>
      <c r="B1063" s="26" t="s">
        <v>1762</v>
      </c>
      <c r="C1063" s="24" t="s">
        <v>66</v>
      </c>
      <c r="D1063" s="27">
        <v>1.08</v>
      </c>
      <c r="E1063" s="93">
        <f>40.23*(1.184419)</f>
        <v>47.649176369999999</v>
      </c>
      <c r="F1063" s="93">
        <f>56.05*(1.184419)</f>
        <v>66.386684950000003</v>
      </c>
      <c r="G1063" s="93"/>
      <c r="H1063" s="104">
        <f t="shared" si="46"/>
        <v>114.03586132000001</v>
      </c>
      <c r="I1063" s="105">
        <f t="shared" si="47"/>
        <v>123.15873022560002</v>
      </c>
    </row>
    <row r="1064" spans="1:9" ht="28.2" thickBot="1" x14ac:dyDescent="0.35">
      <c r="A1064" s="23" t="s">
        <v>1763</v>
      </c>
      <c r="B1064" s="26" t="s">
        <v>157</v>
      </c>
      <c r="C1064" s="24" t="s">
        <v>158</v>
      </c>
      <c r="D1064" s="27">
        <v>29.4</v>
      </c>
      <c r="E1064" s="93">
        <f>14.64*(1.184419)</f>
        <v>17.339894160000004</v>
      </c>
      <c r="F1064" s="93">
        <f>3.88*(1.184419)</f>
        <v>4.5955457200000005</v>
      </c>
      <c r="G1064" s="93">
        <f>0.33*(1.184419)</f>
        <v>0.39085827000000006</v>
      </c>
      <c r="H1064" s="104">
        <f t="shared" si="46"/>
        <v>22.326298150000003</v>
      </c>
      <c r="I1064" s="105">
        <f t="shared" si="47"/>
        <v>656.3931656100001</v>
      </c>
    </row>
    <row r="1065" spans="1:9" ht="15" thickBot="1" x14ac:dyDescent="0.35">
      <c r="A1065" s="23" t="s">
        <v>1764</v>
      </c>
      <c r="B1065" s="26" t="s">
        <v>162</v>
      </c>
      <c r="C1065" s="24" t="s">
        <v>103</v>
      </c>
      <c r="D1065" s="27">
        <v>0.49</v>
      </c>
      <c r="E1065" s="93">
        <f>484.09*(1.184419)</f>
        <v>573.36539371000003</v>
      </c>
      <c r="F1065" s="93"/>
      <c r="G1065" s="93"/>
      <c r="H1065" s="104">
        <f t="shared" si="46"/>
        <v>573.36539371000003</v>
      </c>
      <c r="I1065" s="105">
        <f t="shared" si="47"/>
        <v>280.94904291789999</v>
      </c>
    </row>
    <row r="1066" spans="1:9" ht="42" thickBot="1" x14ac:dyDescent="0.35">
      <c r="A1066" s="23" t="s">
        <v>1765</v>
      </c>
      <c r="B1066" s="26" t="s">
        <v>185</v>
      </c>
      <c r="C1066" s="24" t="s">
        <v>103</v>
      </c>
      <c r="D1066" s="27">
        <v>0.81</v>
      </c>
      <c r="E1066" s="93">
        <f>513.43*(1.184419)</f>
        <v>608.11624716999995</v>
      </c>
      <c r="F1066" s="93">
        <f>73.33*(1.184419)</f>
        <v>86.853445270000009</v>
      </c>
      <c r="G1066" s="93">
        <f>6.14*(1.184419)</f>
        <v>7.27233266</v>
      </c>
      <c r="H1066" s="104">
        <f t="shared" si="46"/>
        <v>702.24202509999998</v>
      </c>
      <c r="I1066" s="105">
        <f t="shared" si="47"/>
        <v>568.81604033100007</v>
      </c>
    </row>
    <row r="1067" spans="1:9" ht="15" thickBot="1" x14ac:dyDescent="0.35">
      <c r="A1067" s="23" t="s">
        <v>1766</v>
      </c>
      <c r="B1067" s="26" t="s">
        <v>187</v>
      </c>
      <c r="C1067" s="24" t="s">
        <v>103</v>
      </c>
      <c r="D1067" s="27">
        <v>1.3</v>
      </c>
      <c r="E1067" s="93"/>
      <c r="F1067" s="93">
        <f>164.02*(1.184419)</f>
        <v>194.26840438000002</v>
      </c>
      <c r="G1067" s="93"/>
      <c r="H1067" s="104">
        <f t="shared" si="46"/>
        <v>194.26840438000002</v>
      </c>
      <c r="I1067" s="105">
        <f t="shared" si="47"/>
        <v>252.54892569400005</v>
      </c>
    </row>
    <row r="1068" spans="1:9" ht="15" thickBot="1" x14ac:dyDescent="0.35">
      <c r="A1068" s="30"/>
      <c r="B1068" s="26"/>
      <c r="C1068" s="26"/>
      <c r="D1068" s="26"/>
      <c r="E1068" s="93"/>
      <c r="F1068" s="93"/>
      <c r="G1068" s="93"/>
      <c r="H1068" s="104"/>
      <c r="I1068" s="105"/>
    </row>
    <row r="1069" spans="1:9" ht="15" thickBot="1" x14ac:dyDescent="0.35">
      <c r="A1069" s="34" t="s">
        <v>1767</v>
      </c>
      <c r="B1069" s="36" t="s">
        <v>1768</v>
      </c>
      <c r="C1069" s="35"/>
      <c r="D1069" s="35"/>
      <c r="E1069" s="35"/>
      <c r="F1069" s="35"/>
      <c r="G1069" s="35"/>
      <c r="H1069" s="35"/>
      <c r="I1069" s="117">
        <f>I1070+I1083+I1090+I1094+I1098+I1103</f>
        <v>79143.067087040006</v>
      </c>
    </row>
    <row r="1070" spans="1:9" ht="15" thickBot="1" x14ac:dyDescent="0.35">
      <c r="A1070" s="40" t="s">
        <v>1769</v>
      </c>
      <c r="B1070" s="42" t="s">
        <v>1770</v>
      </c>
      <c r="C1070" s="26"/>
      <c r="D1070" s="26"/>
      <c r="E1070" s="93"/>
      <c r="F1070" s="93"/>
      <c r="G1070" s="93"/>
      <c r="H1070" s="104"/>
      <c r="I1070" s="119">
        <f>SUM(I1071:I1081)</f>
        <v>44530.056310259999</v>
      </c>
    </row>
    <row r="1071" spans="1:9" ht="42" thickBot="1" x14ac:dyDescent="0.35">
      <c r="A1071" s="23" t="s">
        <v>1771</v>
      </c>
      <c r="B1071" s="26" t="s">
        <v>1772</v>
      </c>
      <c r="C1071" s="24" t="s">
        <v>135</v>
      </c>
      <c r="D1071" s="27">
        <v>167</v>
      </c>
      <c r="E1071" s="93">
        <f>133.45*(1.184419)</f>
        <v>158.06071555</v>
      </c>
      <c r="F1071" s="93">
        <f>12.81*(1.184419)</f>
        <v>15.172407390000002</v>
      </c>
      <c r="G1071" s="93">
        <f>0.79*(1.184419)</f>
        <v>0.9356910100000001</v>
      </c>
      <c r="H1071" s="104">
        <f t="shared" si="46"/>
        <v>174.16881394999999</v>
      </c>
      <c r="I1071" s="105">
        <f t="shared" si="47"/>
        <v>29086.191929649998</v>
      </c>
    </row>
    <row r="1072" spans="1:9" ht="42" thickBot="1" x14ac:dyDescent="0.35">
      <c r="A1072" s="23" t="s">
        <v>1773</v>
      </c>
      <c r="B1072" s="26" t="s">
        <v>1774</v>
      </c>
      <c r="C1072" s="24" t="s">
        <v>135</v>
      </c>
      <c r="D1072" s="27">
        <v>10</v>
      </c>
      <c r="E1072" s="93">
        <f>178.82*(1.184419)</f>
        <v>211.79780558000002</v>
      </c>
      <c r="F1072" s="93">
        <f>14.49*(1.184419)</f>
        <v>17.162231310000003</v>
      </c>
      <c r="G1072" s="93">
        <f>0.88*(1.184419)</f>
        <v>1.0422887200000002</v>
      </c>
      <c r="H1072" s="104">
        <f t="shared" si="46"/>
        <v>230.00232561000001</v>
      </c>
      <c r="I1072" s="105">
        <f t="shared" si="47"/>
        <v>2300.0232561000003</v>
      </c>
    </row>
    <row r="1073" spans="1:9" ht="55.8" thickBot="1" x14ac:dyDescent="0.35">
      <c r="A1073" s="23" t="s">
        <v>1775</v>
      </c>
      <c r="B1073" s="26" t="s">
        <v>1776</v>
      </c>
      <c r="C1073" s="24" t="s">
        <v>49</v>
      </c>
      <c r="D1073" s="27">
        <v>26</v>
      </c>
      <c r="E1073" s="93">
        <f>112.56*(1.184419)</f>
        <v>133.31820264000001</v>
      </c>
      <c r="F1073" s="93">
        <f>21.86*(1.184419)</f>
        <v>25.891399340000003</v>
      </c>
      <c r="G1073" s="93">
        <f>1.32*(1.184419)</f>
        <v>1.5634330800000003</v>
      </c>
      <c r="H1073" s="104">
        <f t="shared" si="46"/>
        <v>160.77303506000001</v>
      </c>
      <c r="I1073" s="105">
        <f t="shared" si="47"/>
        <v>4180.0989115600005</v>
      </c>
    </row>
    <row r="1074" spans="1:9" ht="55.8" thickBot="1" x14ac:dyDescent="0.35">
      <c r="A1074" s="23" t="s">
        <v>1777</v>
      </c>
      <c r="B1074" s="26" t="s">
        <v>1778</v>
      </c>
      <c r="C1074" s="24" t="s">
        <v>49</v>
      </c>
      <c r="D1074" s="27">
        <v>8</v>
      </c>
      <c r="E1074" s="93">
        <f>157.75*(1.184419)</f>
        <v>186.84209725000002</v>
      </c>
      <c r="F1074" s="93">
        <f>27.31*(1.184419)</f>
        <v>32.346482890000004</v>
      </c>
      <c r="G1074" s="93">
        <f>1.64*(1.184419)</f>
        <v>1.9424471600000002</v>
      </c>
      <c r="H1074" s="104">
        <f t="shared" si="46"/>
        <v>221.13102730000003</v>
      </c>
      <c r="I1074" s="105">
        <f t="shared" si="47"/>
        <v>1769.0482184000002</v>
      </c>
    </row>
    <row r="1075" spans="1:9" ht="15" thickBot="1" x14ac:dyDescent="0.35">
      <c r="A1075" s="23" t="s">
        <v>1779</v>
      </c>
      <c r="B1075" s="26" t="s">
        <v>1780</v>
      </c>
      <c r="C1075" s="24" t="s">
        <v>49</v>
      </c>
      <c r="D1075" s="27">
        <v>8</v>
      </c>
      <c r="E1075" s="93">
        <f>152.19*(1.184419)</f>
        <v>180.25672761000001</v>
      </c>
      <c r="F1075" s="93">
        <f>22.03*(1.184419)</f>
        <v>26.092750570000003</v>
      </c>
      <c r="G1075" s="93">
        <f>1.32*(1.184419)</f>
        <v>1.5634330800000003</v>
      </c>
      <c r="H1075" s="104">
        <f t="shared" si="46"/>
        <v>207.91291126000002</v>
      </c>
      <c r="I1075" s="105">
        <f t="shared" si="47"/>
        <v>1663.3032900800001</v>
      </c>
    </row>
    <row r="1076" spans="1:9" ht="15" thickBot="1" x14ac:dyDescent="0.35">
      <c r="A1076" s="23" t="s">
        <v>1781</v>
      </c>
      <c r="B1076" s="26" t="s">
        <v>1782</v>
      </c>
      <c r="C1076" s="24" t="s">
        <v>49</v>
      </c>
      <c r="D1076" s="27">
        <v>3</v>
      </c>
      <c r="E1076" s="93">
        <f>199.03*(1.184419)</f>
        <v>235.73491357000003</v>
      </c>
      <c r="F1076" s="93">
        <f>23.75*(1.184419)</f>
        <v>28.129951250000001</v>
      </c>
      <c r="G1076" s="93">
        <f>1.42*(1.184419)</f>
        <v>1.6818749800000001</v>
      </c>
      <c r="H1076" s="104">
        <f t="shared" si="46"/>
        <v>265.54673980000001</v>
      </c>
      <c r="I1076" s="105">
        <f t="shared" si="47"/>
        <v>796.64021939999998</v>
      </c>
    </row>
    <row r="1077" spans="1:9" ht="28.2" thickBot="1" x14ac:dyDescent="0.35">
      <c r="A1077" s="23" t="s">
        <v>1783</v>
      </c>
      <c r="B1077" s="26" t="s">
        <v>1784</v>
      </c>
      <c r="C1077" s="24" t="s">
        <v>49</v>
      </c>
      <c r="D1077" s="27">
        <v>1</v>
      </c>
      <c r="E1077" s="93">
        <f>231.95*(1.184419)</f>
        <v>274.72598705000001</v>
      </c>
      <c r="F1077" s="93">
        <f>17.36*(1.184419)</f>
        <v>20.56151384</v>
      </c>
      <c r="G1077" s="93">
        <f>0.04*(1.184419)</f>
        <v>4.7376760000000004E-2</v>
      </c>
      <c r="H1077" s="104">
        <f t="shared" si="46"/>
        <v>295.33487765000001</v>
      </c>
      <c r="I1077" s="105">
        <f t="shared" si="47"/>
        <v>295.33487765000001</v>
      </c>
    </row>
    <row r="1078" spans="1:9" ht="15" thickBot="1" x14ac:dyDescent="0.35">
      <c r="A1078" s="23" t="s">
        <v>1785</v>
      </c>
      <c r="B1078" s="26" t="s">
        <v>1786</v>
      </c>
      <c r="C1078" s="24" t="s">
        <v>49</v>
      </c>
      <c r="D1078" s="27">
        <v>12</v>
      </c>
      <c r="E1078" s="93">
        <f>71.77*(1.184419)</f>
        <v>85.005751630000006</v>
      </c>
      <c r="F1078" s="93">
        <f>12.94*(1.184419)</f>
        <v>15.326381860000001</v>
      </c>
      <c r="G1078" s="93">
        <f>0.78*(1.184419)</f>
        <v>0.92384682000000007</v>
      </c>
      <c r="H1078" s="104">
        <f t="shared" si="46"/>
        <v>101.25598031</v>
      </c>
      <c r="I1078" s="105">
        <f t="shared" si="47"/>
        <v>1215.07176372</v>
      </c>
    </row>
    <row r="1079" spans="1:9" ht="15" thickBot="1" x14ac:dyDescent="0.35">
      <c r="A1079" s="23" t="s">
        <v>1787</v>
      </c>
      <c r="B1079" s="26" t="s">
        <v>1788</v>
      </c>
      <c r="C1079" s="24" t="s">
        <v>49</v>
      </c>
      <c r="D1079" s="27">
        <v>9</v>
      </c>
      <c r="E1079" s="93">
        <f>102.12*(1.184419)</f>
        <v>120.95286828000002</v>
      </c>
      <c r="F1079" s="93">
        <f>14.7*(1.184419)</f>
        <v>17.410959300000002</v>
      </c>
      <c r="G1079" s="93">
        <f>0.88*(1.184419)</f>
        <v>1.0422887200000002</v>
      </c>
      <c r="H1079" s="104">
        <f t="shared" si="46"/>
        <v>139.40611630000001</v>
      </c>
      <c r="I1079" s="105">
        <f t="shared" si="47"/>
        <v>1254.6550467000002</v>
      </c>
    </row>
    <row r="1080" spans="1:9" ht="28.2" thickBot="1" x14ac:dyDescent="0.35">
      <c r="A1080" s="23" t="s">
        <v>1789</v>
      </c>
      <c r="B1080" s="26" t="s">
        <v>1790</v>
      </c>
      <c r="C1080" s="24" t="s">
        <v>49</v>
      </c>
      <c r="D1080" s="27">
        <v>2</v>
      </c>
      <c r="E1080" s="93">
        <f>305.5*(1.184419)</f>
        <v>361.84000450000002</v>
      </c>
      <c r="F1080" s="93">
        <f>16.15*(1.184419)</f>
        <v>19.128366849999999</v>
      </c>
      <c r="G1080" s="93">
        <f>0.04*(1.184419)</f>
        <v>4.7376760000000004E-2</v>
      </c>
      <c r="H1080" s="104">
        <f t="shared" si="46"/>
        <v>381.01574811000006</v>
      </c>
      <c r="I1080" s="105">
        <f t="shared" si="47"/>
        <v>762.03149622000012</v>
      </c>
    </row>
    <row r="1081" spans="1:9" ht="28.2" thickBot="1" x14ac:dyDescent="0.35">
      <c r="A1081" s="23" t="s">
        <v>1791</v>
      </c>
      <c r="B1081" s="26" t="s">
        <v>1792</v>
      </c>
      <c r="C1081" s="24" t="s">
        <v>49</v>
      </c>
      <c r="D1081" s="27">
        <v>2</v>
      </c>
      <c r="E1081" s="93">
        <f>492.41*(1.184419)</f>
        <v>583.21975979000013</v>
      </c>
      <c r="F1081" s="93">
        <f>17.36*(1.184419)</f>
        <v>20.56151384</v>
      </c>
      <c r="G1081" s="93">
        <f>0.04*(1.184419)</f>
        <v>4.7376760000000004E-2</v>
      </c>
      <c r="H1081" s="104">
        <f t="shared" si="46"/>
        <v>603.82865039000012</v>
      </c>
      <c r="I1081" s="105">
        <f t="shared" si="47"/>
        <v>1207.6573007800002</v>
      </c>
    </row>
    <row r="1082" spans="1:9" ht="15" thickBot="1" x14ac:dyDescent="0.35">
      <c r="A1082" s="30"/>
      <c r="B1082" s="26"/>
      <c r="C1082" s="26"/>
      <c r="D1082" s="26"/>
      <c r="E1082" s="93"/>
      <c r="F1082" s="93"/>
      <c r="G1082" s="93"/>
      <c r="H1082" s="104"/>
      <c r="I1082" s="105"/>
    </row>
    <row r="1083" spans="1:9" ht="15" thickBot="1" x14ac:dyDescent="0.35">
      <c r="A1083" s="40" t="s">
        <v>1793</v>
      </c>
      <c r="B1083" s="42" t="s">
        <v>1590</v>
      </c>
      <c r="C1083" s="26"/>
      <c r="D1083" s="26"/>
      <c r="E1083" s="93"/>
      <c r="F1083" s="93"/>
      <c r="G1083" s="93"/>
      <c r="H1083" s="104"/>
      <c r="I1083" s="119">
        <f>SUM(I1084:I1088)</f>
        <v>2510.1510308900006</v>
      </c>
    </row>
    <row r="1084" spans="1:9" ht="28.2" thickBot="1" x14ac:dyDescent="0.35">
      <c r="A1084" s="23" t="s">
        <v>1794</v>
      </c>
      <c r="B1084" s="26" t="s">
        <v>1795</v>
      </c>
      <c r="C1084" s="24" t="s">
        <v>49</v>
      </c>
      <c r="D1084" s="27">
        <v>2</v>
      </c>
      <c r="E1084" s="93">
        <f>230.61*(1.184419)</f>
        <v>273.13886559000002</v>
      </c>
      <c r="F1084" s="93">
        <f>19.04*(1.184419)</f>
        <v>22.551337760000003</v>
      </c>
      <c r="G1084" s="93">
        <f>1.14*(1.184419)</f>
        <v>1.3502376600000001</v>
      </c>
      <c r="H1084" s="104">
        <f t="shared" si="46"/>
        <v>297.04044101000005</v>
      </c>
      <c r="I1084" s="105">
        <f t="shared" si="47"/>
        <v>594.0808820200001</v>
      </c>
    </row>
    <row r="1085" spans="1:9" ht="28.2" thickBot="1" x14ac:dyDescent="0.35">
      <c r="A1085" s="23" t="s">
        <v>1796</v>
      </c>
      <c r="B1085" s="26" t="s">
        <v>1797</v>
      </c>
      <c r="C1085" s="24" t="s">
        <v>49</v>
      </c>
      <c r="D1085" s="27">
        <v>1</v>
      </c>
      <c r="E1085" s="93">
        <f>317.76*(1.184419)</f>
        <v>376.36098144000005</v>
      </c>
      <c r="F1085" s="93">
        <f>23.85*(1.184419)</f>
        <v>28.248393150000005</v>
      </c>
      <c r="G1085" s="93">
        <f>1.44*(1.184419)</f>
        <v>1.7055633600000002</v>
      </c>
      <c r="H1085" s="104">
        <f t="shared" si="46"/>
        <v>406.31493795000006</v>
      </c>
      <c r="I1085" s="105">
        <f t="shared" si="47"/>
        <v>406.31493795000006</v>
      </c>
    </row>
    <row r="1086" spans="1:9" ht="28.2" thickBot="1" x14ac:dyDescent="0.35">
      <c r="A1086" s="23" t="s">
        <v>1798</v>
      </c>
      <c r="B1086" s="26" t="s">
        <v>1799</v>
      </c>
      <c r="C1086" s="24" t="s">
        <v>49</v>
      </c>
      <c r="D1086" s="27">
        <v>2</v>
      </c>
      <c r="E1086" s="93">
        <f>218.28*(1.184419)</f>
        <v>258.53497932000005</v>
      </c>
      <c r="F1086" s="93">
        <f>11.93*(1.184419)</f>
        <v>14.130118670000002</v>
      </c>
      <c r="G1086" s="93">
        <f>0.72*(1.184419)</f>
        <v>0.8527816800000001</v>
      </c>
      <c r="H1086" s="104">
        <f t="shared" si="46"/>
        <v>273.51787967000007</v>
      </c>
      <c r="I1086" s="105">
        <f t="shared" si="47"/>
        <v>547.03575934000014</v>
      </c>
    </row>
    <row r="1087" spans="1:9" ht="28.2" thickBot="1" x14ac:dyDescent="0.35">
      <c r="A1087" s="23" t="s">
        <v>1800</v>
      </c>
      <c r="B1087" s="26" t="s">
        <v>1801</v>
      </c>
      <c r="C1087" s="24" t="s">
        <v>49</v>
      </c>
      <c r="D1087" s="27">
        <v>2</v>
      </c>
      <c r="E1087" s="93">
        <f>163.18*(1.184419)</f>
        <v>193.27349242000003</v>
      </c>
      <c r="F1087" s="93">
        <f>19.04*(1.184419)</f>
        <v>22.551337760000003</v>
      </c>
      <c r="G1087" s="93">
        <f>1.14*(1.184419)</f>
        <v>1.3502376600000001</v>
      </c>
      <c r="H1087" s="104">
        <f t="shared" si="46"/>
        <v>217.17506784000003</v>
      </c>
      <c r="I1087" s="105">
        <f t="shared" si="47"/>
        <v>434.35013568000005</v>
      </c>
    </row>
    <row r="1088" spans="1:9" ht="28.2" thickBot="1" x14ac:dyDescent="0.35">
      <c r="A1088" s="23" t="s">
        <v>1802</v>
      </c>
      <c r="B1088" s="26" t="s">
        <v>1803</v>
      </c>
      <c r="C1088" s="24" t="s">
        <v>49</v>
      </c>
      <c r="D1088" s="27">
        <v>2</v>
      </c>
      <c r="E1088" s="93">
        <f>197.76*(1.184419)</f>
        <v>234.23070144000002</v>
      </c>
      <c r="F1088" s="93">
        <f>23.85*(1.184419)</f>
        <v>28.248393150000005</v>
      </c>
      <c r="G1088" s="93">
        <f>1.44*(1.184419)</f>
        <v>1.7055633600000002</v>
      </c>
      <c r="H1088" s="104">
        <f t="shared" si="46"/>
        <v>264.18465795000003</v>
      </c>
      <c r="I1088" s="105">
        <f t="shared" si="47"/>
        <v>528.36931590000006</v>
      </c>
    </row>
    <row r="1089" spans="1:9" ht="15" thickBot="1" x14ac:dyDescent="0.35">
      <c r="A1089" s="30"/>
      <c r="B1089" s="26"/>
      <c r="C1089" s="26"/>
      <c r="D1089" s="26"/>
      <c r="E1089" s="93"/>
      <c r="F1089" s="93"/>
      <c r="G1089" s="93"/>
      <c r="H1089" s="104"/>
      <c r="I1089" s="105"/>
    </row>
    <row r="1090" spans="1:9" ht="15" thickBot="1" x14ac:dyDescent="0.35">
      <c r="A1090" s="40" t="s">
        <v>1804</v>
      </c>
      <c r="B1090" s="42" t="s">
        <v>1805</v>
      </c>
      <c r="C1090" s="26"/>
      <c r="D1090" s="26"/>
      <c r="E1090" s="93"/>
      <c r="F1090" s="93"/>
      <c r="G1090" s="93"/>
      <c r="H1090" s="104"/>
      <c r="I1090" s="119">
        <f>SUM(I1091:I1092)</f>
        <v>14619.56797756</v>
      </c>
    </row>
    <row r="1091" spans="1:9" ht="55.8" thickBot="1" x14ac:dyDescent="0.35">
      <c r="A1091" s="23" t="s">
        <v>1806</v>
      </c>
      <c r="B1091" s="26" t="s">
        <v>1807</v>
      </c>
      <c r="C1091" s="24" t="s">
        <v>49</v>
      </c>
      <c r="D1091" s="27">
        <v>4</v>
      </c>
      <c r="E1091" s="93">
        <f>1921.02*(1.184419)</f>
        <v>2275.29258738</v>
      </c>
      <c r="F1091" s="93">
        <f>127.19*(1.184419)</f>
        <v>150.64625261</v>
      </c>
      <c r="G1091" s="93">
        <f>7.66*(1.184419)</f>
        <v>9.0726495400000005</v>
      </c>
      <c r="H1091" s="104">
        <f t="shared" si="46"/>
        <v>2435.0114895299998</v>
      </c>
      <c r="I1091" s="105">
        <f t="shared" si="47"/>
        <v>9740.0459581199993</v>
      </c>
    </row>
    <row r="1092" spans="1:9" ht="55.8" thickBot="1" x14ac:dyDescent="0.35">
      <c r="A1092" s="23" t="s">
        <v>1808</v>
      </c>
      <c r="B1092" s="26" t="s">
        <v>1809</v>
      </c>
      <c r="C1092" s="24" t="s">
        <v>49</v>
      </c>
      <c r="D1092" s="27">
        <v>2</v>
      </c>
      <c r="E1092" s="93">
        <f>1925.03*(1.184419)</f>
        <v>2280.0421075700001</v>
      </c>
      <c r="F1092" s="93">
        <f>127.19*(1.184419)</f>
        <v>150.64625261</v>
      </c>
      <c r="G1092" s="93">
        <f>7.66*(1.184419)</f>
        <v>9.0726495400000005</v>
      </c>
      <c r="H1092" s="104">
        <f t="shared" si="46"/>
        <v>2439.7610097199999</v>
      </c>
      <c r="I1092" s="105">
        <f t="shared" si="47"/>
        <v>4879.5220194399999</v>
      </c>
    </row>
    <row r="1093" spans="1:9" ht="15" thickBot="1" x14ac:dyDescent="0.35">
      <c r="A1093" s="30"/>
      <c r="B1093" s="26"/>
      <c r="C1093" s="26"/>
      <c r="D1093" s="26"/>
      <c r="E1093" s="93"/>
      <c r="F1093" s="93"/>
      <c r="G1093" s="93"/>
      <c r="H1093" s="104"/>
      <c r="I1093" s="105"/>
    </row>
    <row r="1094" spans="1:9" ht="15" thickBot="1" x14ac:dyDescent="0.35">
      <c r="A1094" s="40" t="s">
        <v>1810</v>
      </c>
      <c r="B1094" s="42" t="s">
        <v>1811</v>
      </c>
      <c r="C1094" s="26"/>
      <c r="D1094" s="26"/>
      <c r="E1094" s="93"/>
      <c r="F1094" s="93"/>
      <c r="G1094" s="93"/>
      <c r="H1094" s="104"/>
      <c r="I1094" s="119">
        <f>I1095+I1096</f>
        <v>372.51161969000003</v>
      </c>
    </row>
    <row r="1095" spans="1:9" ht="15" thickBot="1" x14ac:dyDescent="0.35">
      <c r="A1095" s="23" t="s">
        <v>1812</v>
      </c>
      <c r="B1095" s="26" t="s">
        <v>1813</v>
      </c>
      <c r="C1095" s="24" t="s">
        <v>49</v>
      </c>
      <c r="D1095" s="27">
        <v>1</v>
      </c>
      <c r="E1095" s="93">
        <f>95.94*(1.184419)</f>
        <v>113.63315886000001</v>
      </c>
      <c r="F1095" s="93">
        <f>4.78*(1.184419)</f>
        <v>5.661522820000001</v>
      </c>
      <c r="G1095" s="93"/>
      <c r="H1095" s="104">
        <f t="shared" ref="H1095:H1156" si="48">E1095+F1095+G1095</f>
        <v>119.29468168000001</v>
      </c>
      <c r="I1095" s="105">
        <f t="shared" ref="I1095:I1155" si="49">H1095*D1095</f>
        <v>119.29468168000001</v>
      </c>
    </row>
    <row r="1096" spans="1:9" ht="42" thickBot="1" x14ac:dyDescent="0.35">
      <c r="A1096" s="23" t="s">
        <v>1814</v>
      </c>
      <c r="B1096" s="26" t="s">
        <v>1815</v>
      </c>
      <c r="C1096" s="24" t="s">
        <v>49</v>
      </c>
      <c r="D1096" s="27">
        <v>1</v>
      </c>
      <c r="E1096" s="93">
        <f>193.61*(1.184419)</f>
        <v>229.31536259000003</v>
      </c>
      <c r="F1096" s="93">
        <f>19.04*(1.184419)</f>
        <v>22.551337760000003</v>
      </c>
      <c r="G1096" s="93">
        <f>1.14*(1.184419)</f>
        <v>1.3502376600000001</v>
      </c>
      <c r="H1096" s="104">
        <f t="shared" si="48"/>
        <v>253.21693801000004</v>
      </c>
      <c r="I1096" s="105">
        <f t="shared" si="49"/>
        <v>253.21693801000004</v>
      </c>
    </row>
    <row r="1097" spans="1:9" ht="15" thickBot="1" x14ac:dyDescent="0.35">
      <c r="A1097" s="30"/>
      <c r="B1097" s="26"/>
      <c r="C1097" s="26"/>
      <c r="D1097" s="26"/>
      <c r="E1097" s="93"/>
      <c r="F1097" s="93"/>
      <c r="G1097" s="93"/>
      <c r="H1097" s="104"/>
      <c r="I1097" s="105"/>
    </row>
    <row r="1098" spans="1:9" ht="15" thickBot="1" x14ac:dyDescent="0.35">
      <c r="A1098" s="40" t="s">
        <v>1816</v>
      </c>
      <c r="B1098" s="42" t="s">
        <v>1817</v>
      </c>
      <c r="C1098" s="26"/>
      <c r="D1098" s="26"/>
      <c r="E1098" s="93"/>
      <c r="F1098" s="93"/>
      <c r="G1098" s="93"/>
      <c r="H1098" s="104"/>
      <c r="I1098" s="119">
        <f>I1099+I1100+I1101</f>
        <v>4758.6165279199995</v>
      </c>
    </row>
    <row r="1099" spans="1:9" ht="15" thickBot="1" x14ac:dyDescent="0.35">
      <c r="A1099" s="23" t="s">
        <v>1818</v>
      </c>
      <c r="B1099" s="31" t="s">
        <v>1819</v>
      </c>
      <c r="C1099" s="24" t="s">
        <v>49</v>
      </c>
      <c r="D1099" s="27">
        <v>3</v>
      </c>
      <c r="E1099" s="93">
        <f>546.76*(1.184419)</f>
        <v>647.59293244000003</v>
      </c>
      <c r="F1099" s="93">
        <f>19.85*(1.184419)</f>
        <v>23.510717150000005</v>
      </c>
      <c r="G1099" s="93"/>
      <c r="H1099" s="104">
        <f t="shared" si="48"/>
        <v>671.10364959000003</v>
      </c>
      <c r="I1099" s="105">
        <f t="shared" si="49"/>
        <v>2013.3109487700001</v>
      </c>
    </row>
    <row r="1100" spans="1:9" ht="15" thickBot="1" x14ac:dyDescent="0.35">
      <c r="A1100" s="23" t="s">
        <v>1820</v>
      </c>
      <c r="B1100" s="31" t="s">
        <v>1821</v>
      </c>
      <c r="C1100" s="24" t="s">
        <v>49</v>
      </c>
      <c r="D1100" s="32">
        <v>4</v>
      </c>
      <c r="E1100" s="93">
        <f>172.32*(1.184419)</f>
        <v>204.09908208000002</v>
      </c>
      <c r="F1100" s="93">
        <f>19.85*(1.184419)</f>
        <v>23.510717150000005</v>
      </c>
      <c r="G1100" s="93"/>
      <c r="H1100" s="104">
        <f t="shared" si="48"/>
        <v>227.60979923000002</v>
      </c>
      <c r="I1100" s="105">
        <f t="shared" si="49"/>
        <v>910.43919692000009</v>
      </c>
    </row>
    <row r="1101" spans="1:9" ht="15" thickBot="1" x14ac:dyDescent="0.35">
      <c r="A1101" s="23" t="s">
        <v>1822</v>
      </c>
      <c r="B1101" s="26" t="s">
        <v>1823</v>
      </c>
      <c r="C1101" s="24" t="s">
        <v>1824</v>
      </c>
      <c r="D1101" s="27">
        <v>9</v>
      </c>
      <c r="E1101" s="93">
        <f>138.94*(1.184419)</f>
        <v>164.56317586</v>
      </c>
      <c r="F1101" s="93">
        <f>33.19*(1.184419)</f>
        <v>39.310866609999998</v>
      </c>
      <c r="G1101" s="93"/>
      <c r="H1101" s="104">
        <f t="shared" si="48"/>
        <v>203.87404247000001</v>
      </c>
      <c r="I1101" s="105">
        <f t="shared" si="49"/>
        <v>1834.86638223</v>
      </c>
    </row>
    <row r="1102" spans="1:9" ht="15" thickBot="1" x14ac:dyDescent="0.35">
      <c r="A1102" s="30"/>
      <c r="B1102" s="26"/>
      <c r="C1102" s="26"/>
      <c r="D1102" s="26"/>
      <c r="E1102" s="93"/>
      <c r="F1102" s="93"/>
      <c r="G1102" s="93"/>
      <c r="H1102" s="104"/>
      <c r="I1102" s="105"/>
    </row>
    <row r="1103" spans="1:9" ht="15" thickBot="1" x14ac:dyDescent="0.35">
      <c r="A1103" s="40" t="s">
        <v>1825</v>
      </c>
      <c r="B1103" s="42" t="s">
        <v>1826</v>
      </c>
      <c r="C1103" s="26"/>
      <c r="D1103" s="26"/>
      <c r="E1103" s="93"/>
      <c r="F1103" s="93"/>
      <c r="G1103" s="93"/>
      <c r="H1103" s="104"/>
      <c r="I1103" s="119">
        <f>SUM(I1104:I1106)</f>
        <v>12352.163620720001</v>
      </c>
    </row>
    <row r="1104" spans="1:9" ht="42" thickBot="1" x14ac:dyDescent="0.35">
      <c r="A1104" s="23" t="s">
        <v>1827</v>
      </c>
      <c r="B1104" s="31" t="s">
        <v>1828</v>
      </c>
      <c r="C1104" s="24" t="s">
        <v>49</v>
      </c>
      <c r="D1104" s="27">
        <v>2</v>
      </c>
      <c r="E1104" s="93">
        <f>2899.7*(1.184419)</f>
        <v>3434.4597742999999</v>
      </c>
      <c r="F1104" s="93">
        <f>153.57*(1.184419)</f>
        <v>181.89122583</v>
      </c>
      <c r="G1104" s="93">
        <f>10.1*(1.184419)</f>
        <v>11.9626319</v>
      </c>
      <c r="H1104" s="104">
        <f t="shared" si="48"/>
        <v>3628.31363203</v>
      </c>
      <c r="I1104" s="105">
        <f t="shared" si="49"/>
        <v>7256.62726406</v>
      </c>
    </row>
    <row r="1105" spans="1:9" ht="28.2" thickBot="1" x14ac:dyDescent="0.35">
      <c r="A1105" s="23" t="s">
        <v>1829</v>
      </c>
      <c r="B1105" s="31" t="s">
        <v>1639</v>
      </c>
      <c r="C1105" s="25" t="s">
        <v>90</v>
      </c>
      <c r="D1105" s="32">
        <v>2</v>
      </c>
      <c r="E1105" s="93">
        <f>1988.84*(1.184419)</f>
        <v>2355.6198839600002</v>
      </c>
      <c r="F1105" s="93">
        <f>62.27*(1.184419)</f>
        <v>73.753771130000004</v>
      </c>
      <c r="G1105" s="93">
        <f>4.6*(1.184419)</f>
        <v>5.4483274000000002</v>
      </c>
      <c r="H1105" s="104">
        <f t="shared" si="48"/>
        <v>2434.8219824900002</v>
      </c>
      <c r="I1105" s="105">
        <f t="shared" si="49"/>
        <v>4869.6439649800004</v>
      </c>
    </row>
    <row r="1106" spans="1:9" ht="28.2" thickBot="1" x14ac:dyDescent="0.35">
      <c r="A1106" s="23" t="s">
        <v>1830</v>
      </c>
      <c r="B1106" s="31" t="s">
        <v>1831</v>
      </c>
      <c r="C1106" s="24" t="s">
        <v>49</v>
      </c>
      <c r="D1106" s="27">
        <v>2</v>
      </c>
      <c r="E1106" s="93">
        <f>50.96*(1.184419)</f>
        <v>60.357992240000009</v>
      </c>
      <c r="F1106" s="93">
        <f>41.88*(1.184419)</f>
        <v>49.603467720000005</v>
      </c>
      <c r="G1106" s="93">
        <f>2.52*(1.184419)</f>
        <v>2.9847358800000001</v>
      </c>
      <c r="H1106" s="104">
        <f t="shared" si="48"/>
        <v>112.94619584000002</v>
      </c>
      <c r="I1106" s="105">
        <f t="shared" si="49"/>
        <v>225.89239168000003</v>
      </c>
    </row>
    <row r="1107" spans="1:9" ht="15" thickBot="1" x14ac:dyDescent="0.35">
      <c r="A1107" s="30"/>
      <c r="B1107" s="26"/>
      <c r="C1107" s="26"/>
      <c r="D1107" s="26"/>
      <c r="E1107" s="93"/>
      <c r="F1107" s="93"/>
      <c r="G1107" s="93"/>
      <c r="H1107" s="104"/>
      <c r="I1107" s="105"/>
    </row>
    <row r="1108" spans="1:9" ht="15" thickBot="1" x14ac:dyDescent="0.35">
      <c r="A1108" s="18" t="s">
        <v>1832</v>
      </c>
      <c r="B1108" s="20" t="s">
        <v>1833</v>
      </c>
      <c r="C1108" s="19"/>
      <c r="D1108" s="19"/>
      <c r="E1108" s="19"/>
      <c r="F1108" s="19"/>
      <c r="G1108" s="19"/>
      <c r="H1108" s="19"/>
      <c r="I1108" s="115">
        <f>I1109+I1135+I1138+I1141+I1144</f>
        <v>65672.397383670017</v>
      </c>
    </row>
    <row r="1109" spans="1:9" ht="15" thickBot="1" x14ac:dyDescent="0.35">
      <c r="A1109" s="34" t="s">
        <v>1834</v>
      </c>
      <c r="B1109" s="36" t="s">
        <v>1568</v>
      </c>
      <c r="C1109" s="35"/>
      <c r="D1109" s="35"/>
      <c r="E1109" s="35"/>
      <c r="F1109" s="35"/>
      <c r="G1109" s="35"/>
      <c r="H1109" s="35"/>
      <c r="I1109" s="117">
        <f>SUM(I1110:I1133)</f>
        <v>28336.170442090013</v>
      </c>
    </row>
    <row r="1110" spans="1:9" ht="42" thickBot="1" x14ac:dyDescent="0.35">
      <c r="A1110" s="23" t="s">
        <v>1835</v>
      </c>
      <c r="B1110" s="26" t="s">
        <v>1836</v>
      </c>
      <c r="C1110" s="24" t="s">
        <v>135</v>
      </c>
      <c r="D1110" s="27">
        <v>77</v>
      </c>
      <c r="E1110" s="93">
        <f>57.53*(1.184419)</f>
        <v>68.139625070000008</v>
      </c>
      <c r="F1110" s="93">
        <f>5.23*(1.184419)</f>
        <v>6.1945113700000007</v>
      </c>
      <c r="G1110" s="93">
        <f>0.32*(1.184419)</f>
        <v>0.37901408000000003</v>
      </c>
      <c r="H1110" s="104">
        <f t="shared" si="48"/>
        <v>74.713150520000013</v>
      </c>
      <c r="I1110" s="105">
        <f t="shared" si="49"/>
        <v>5752.9125900400013</v>
      </c>
    </row>
    <row r="1111" spans="1:9" ht="42" thickBot="1" x14ac:dyDescent="0.35">
      <c r="A1111" s="23" t="s">
        <v>1837</v>
      </c>
      <c r="B1111" s="26" t="s">
        <v>1838</v>
      </c>
      <c r="C1111" s="24" t="s">
        <v>135</v>
      </c>
      <c r="D1111" s="27">
        <v>35</v>
      </c>
      <c r="E1111" s="93">
        <f>92.42*(1.184419)</f>
        <v>109.46400398000002</v>
      </c>
      <c r="F1111" s="93">
        <f>6.03*(1.184419)</f>
        <v>7.1420465700000006</v>
      </c>
      <c r="G1111" s="93">
        <f>0.36*(1.184419)</f>
        <v>0.42639084000000005</v>
      </c>
      <c r="H1111" s="104">
        <f t="shared" si="48"/>
        <v>117.03244139000002</v>
      </c>
      <c r="I1111" s="105">
        <f t="shared" si="49"/>
        <v>4096.1354486500004</v>
      </c>
    </row>
    <row r="1112" spans="1:9" ht="42" thickBot="1" x14ac:dyDescent="0.35">
      <c r="A1112" s="23" t="s">
        <v>1839</v>
      </c>
      <c r="B1112" s="26" t="s">
        <v>1840</v>
      </c>
      <c r="C1112" s="24" t="s">
        <v>135</v>
      </c>
      <c r="D1112" s="27">
        <v>17</v>
      </c>
      <c r="E1112" s="93">
        <f>117.31*(1.184419)</f>
        <v>138.94419289000001</v>
      </c>
      <c r="F1112" s="93">
        <f>6.7*(1.184419)</f>
        <v>7.9356073000000009</v>
      </c>
      <c r="G1112" s="93">
        <f>0.4*(1.184419)</f>
        <v>0.47376760000000007</v>
      </c>
      <c r="H1112" s="104">
        <f t="shared" si="48"/>
        <v>147.35356779000003</v>
      </c>
      <c r="I1112" s="105">
        <f t="shared" si="49"/>
        <v>2505.0106524300004</v>
      </c>
    </row>
    <row r="1113" spans="1:9" ht="42" thickBot="1" x14ac:dyDescent="0.35">
      <c r="A1113" s="23" t="s">
        <v>1841</v>
      </c>
      <c r="B1113" s="26" t="s">
        <v>1572</v>
      </c>
      <c r="C1113" s="24" t="s">
        <v>135</v>
      </c>
      <c r="D1113" s="27">
        <v>44</v>
      </c>
      <c r="E1113" s="93">
        <f>175.45*(1.184419)</f>
        <v>207.80631355</v>
      </c>
      <c r="F1113" s="93">
        <f>2.99*(1.184419)</f>
        <v>3.5414128100000006</v>
      </c>
      <c r="G1113" s="93">
        <f>0.18*(1.184419)</f>
        <v>0.21319542000000002</v>
      </c>
      <c r="H1113" s="104">
        <f t="shared" si="48"/>
        <v>211.56092178</v>
      </c>
      <c r="I1113" s="105">
        <f t="shared" si="49"/>
        <v>9308.6805583200003</v>
      </c>
    </row>
    <row r="1114" spans="1:9" ht="42" thickBot="1" x14ac:dyDescent="0.35">
      <c r="A1114" s="23" t="s">
        <v>1842</v>
      </c>
      <c r="B1114" s="26" t="s">
        <v>1843</v>
      </c>
      <c r="C1114" s="24" t="s">
        <v>49</v>
      </c>
      <c r="D1114" s="27">
        <v>15</v>
      </c>
      <c r="E1114" s="93">
        <f>5.54*(1.184419)</f>
        <v>6.5616812600000003</v>
      </c>
      <c r="F1114" s="93">
        <f>4.17*(1.184419)</f>
        <v>4.9390272300000007</v>
      </c>
      <c r="G1114" s="93">
        <f>0.26*(1.184419)</f>
        <v>0.30794894000000006</v>
      </c>
      <c r="H1114" s="104">
        <f t="shared" si="48"/>
        <v>11.80865743</v>
      </c>
      <c r="I1114" s="105">
        <f t="shared" si="49"/>
        <v>177.12986144999999</v>
      </c>
    </row>
    <row r="1115" spans="1:9" ht="42" thickBot="1" x14ac:dyDescent="0.35">
      <c r="A1115" s="23" t="s">
        <v>1844</v>
      </c>
      <c r="B1115" s="26" t="s">
        <v>1845</v>
      </c>
      <c r="C1115" s="24" t="s">
        <v>49</v>
      </c>
      <c r="D1115" s="27">
        <v>7</v>
      </c>
      <c r="E1115" s="93">
        <f>9.51*(1.184419)</f>
        <v>11.263824690000002</v>
      </c>
      <c r="F1115" s="93">
        <f>4.81*(1.184419)</f>
        <v>5.6970553900000001</v>
      </c>
      <c r="G1115" s="93">
        <f>0.28*(1.184419)</f>
        <v>0.33163732000000007</v>
      </c>
      <c r="H1115" s="104">
        <f t="shared" si="48"/>
        <v>17.292517400000001</v>
      </c>
      <c r="I1115" s="105">
        <f t="shared" si="49"/>
        <v>121.0476218</v>
      </c>
    </row>
    <row r="1116" spans="1:9" ht="42" thickBot="1" x14ac:dyDescent="0.35">
      <c r="A1116" s="23" t="s">
        <v>1846</v>
      </c>
      <c r="B1116" s="26" t="s">
        <v>1847</v>
      </c>
      <c r="C1116" s="24" t="s">
        <v>49</v>
      </c>
      <c r="D1116" s="27">
        <v>3</v>
      </c>
      <c r="E1116" s="93">
        <f>16.65*(1.184419)</f>
        <v>19.720576350000002</v>
      </c>
      <c r="F1116" s="93">
        <f>5.36*(1.184419)</f>
        <v>6.3484858400000013</v>
      </c>
      <c r="G1116" s="93">
        <f>0.32*(1.184419)</f>
        <v>0.37901408000000003</v>
      </c>
      <c r="H1116" s="104">
        <f t="shared" si="48"/>
        <v>26.448076270000005</v>
      </c>
      <c r="I1116" s="105">
        <f t="shared" si="49"/>
        <v>79.344228810000018</v>
      </c>
    </row>
    <row r="1117" spans="1:9" ht="42" thickBot="1" x14ac:dyDescent="0.35">
      <c r="A1117" s="23" t="s">
        <v>1848</v>
      </c>
      <c r="B1117" s="26" t="s">
        <v>1849</v>
      </c>
      <c r="C1117" s="24" t="s">
        <v>49</v>
      </c>
      <c r="D1117" s="27">
        <v>9</v>
      </c>
      <c r="E1117" s="93">
        <f>32.41*(1.184419)</f>
        <v>38.387019789999997</v>
      </c>
      <c r="F1117" s="93">
        <f>4.05*(1.184419)</f>
        <v>4.7968969499999998</v>
      </c>
      <c r="G1117" s="93">
        <f>0.24*(1.184419)</f>
        <v>0.28426056</v>
      </c>
      <c r="H1117" s="104">
        <f t="shared" si="48"/>
        <v>43.468177299999994</v>
      </c>
      <c r="I1117" s="105">
        <f t="shared" si="49"/>
        <v>391.21359569999993</v>
      </c>
    </row>
    <row r="1118" spans="1:9" ht="42" thickBot="1" x14ac:dyDescent="0.35">
      <c r="A1118" s="23" t="s">
        <v>1850</v>
      </c>
      <c r="B1118" s="26" t="s">
        <v>1851</v>
      </c>
      <c r="C1118" s="24" t="s">
        <v>49</v>
      </c>
      <c r="D1118" s="27">
        <v>40</v>
      </c>
      <c r="E1118" s="93">
        <f>8.81*(1.184419)</f>
        <v>10.434731390000001</v>
      </c>
      <c r="F1118" s="93">
        <f>5.74*(1.184419)</f>
        <v>6.7985650600000005</v>
      </c>
      <c r="G1118" s="93">
        <f>0.34*(1.184419)</f>
        <v>0.40270246000000004</v>
      </c>
      <c r="H1118" s="104">
        <f t="shared" si="48"/>
        <v>17.635998910000001</v>
      </c>
      <c r="I1118" s="105">
        <f t="shared" si="49"/>
        <v>705.43995640000003</v>
      </c>
    </row>
    <row r="1119" spans="1:9" ht="42" thickBot="1" x14ac:dyDescent="0.35">
      <c r="A1119" s="23" t="s">
        <v>1852</v>
      </c>
      <c r="B1119" s="26" t="s">
        <v>1853</v>
      </c>
      <c r="C1119" s="24" t="s">
        <v>49</v>
      </c>
      <c r="D1119" s="27">
        <v>9</v>
      </c>
      <c r="E1119" s="93">
        <f>17.24*(1.184419)</f>
        <v>20.41938356</v>
      </c>
      <c r="F1119" s="93">
        <f>7.22*(1.184419)</f>
        <v>8.5515051800000013</v>
      </c>
      <c r="G1119" s="93">
        <f>0.44*(1.184419)</f>
        <v>0.52114436000000008</v>
      </c>
      <c r="H1119" s="104">
        <f t="shared" si="48"/>
        <v>29.4920331</v>
      </c>
      <c r="I1119" s="105">
        <f t="shared" si="49"/>
        <v>265.42829790000002</v>
      </c>
    </row>
    <row r="1120" spans="1:9" ht="42" thickBot="1" x14ac:dyDescent="0.35">
      <c r="A1120" s="23" t="s">
        <v>1854</v>
      </c>
      <c r="B1120" s="26" t="s">
        <v>1576</v>
      </c>
      <c r="C1120" s="24" t="s">
        <v>49</v>
      </c>
      <c r="D1120" s="27">
        <v>11</v>
      </c>
      <c r="E1120" s="93">
        <f>50.17*(1.184419)</f>
        <v>59.422301230000009</v>
      </c>
      <c r="F1120" s="93">
        <f>6.06*(1.184419)</f>
        <v>7.1775791400000006</v>
      </c>
      <c r="G1120" s="93">
        <f>0.36*(1.184419)</f>
        <v>0.42639084000000005</v>
      </c>
      <c r="H1120" s="104">
        <f t="shared" si="48"/>
        <v>67.026271210000004</v>
      </c>
      <c r="I1120" s="105">
        <f t="shared" si="49"/>
        <v>737.28898331000005</v>
      </c>
    </row>
    <row r="1121" spans="1:9" ht="42" thickBot="1" x14ac:dyDescent="0.35">
      <c r="A1121" s="23" t="s">
        <v>1855</v>
      </c>
      <c r="B1121" s="26" t="s">
        <v>1856</v>
      </c>
      <c r="C1121" s="24" t="s">
        <v>49</v>
      </c>
      <c r="D1121" s="27">
        <v>1</v>
      </c>
      <c r="E1121" s="93">
        <f>12.03*(1.184419)</f>
        <v>14.24856057</v>
      </c>
      <c r="F1121" s="93">
        <f>8.35*(1.184419)</f>
        <v>9.889898650000001</v>
      </c>
      <c r="G1121" s="93">
        <f>0.5*(1.184419)</f>
        <v>0.59220950000000006</v>
      </c>
      <c r="H1121" s="104">
        <f t="shared" si="48"/>
        <v>24.730668720000001</v>
      </c>
      <c r="I1121" s="105">
        <f t="shared" si="49"/>
        <v>24.730668720000001</v>
      </c>
    </row>
    <row r="1122" spans="1:9" ht="42" thickBot="1" x14ac:dyDescent="0.35">
      <c r="A1122" s="23" t="s">
        <v>1857</v>
      </c>
      <c r="B1122" s="26" t="s">
        <v>1858</v>
      </c>
      <c r="C1122" s="24" t="s">
        <v>49</v>
      </c>
      <c r="D1122" s="27">
        <v>2</v>
      </c>
      <c r="E1122" s="93">
        <f>22.64*(1.184419)</f>
        <v>26.815246160000004</v>
      </c>
      <c r="F1122" s="93">
        <f>9.62*(1.184419)</f>
        <v>11.39411078</v>
      </c>
      <c r="G1122" s="93">
        <f>0.58*(1.184419)</f>
        <v>0.68696301999999998</v>
      </c>
      <c r="H1122" s="104">
        <f t="shared" si="48"/>
        <v>38.896319960000007</v>
      </c>
      <c r="I1122" s="105">
        <f t="shared" si="49"/>
        <v>77.792639920000013</v>
      </c>
    </row>
    <row r="1123" spans="1:9" ht="28.2" thickBot="1" x14ac:dyDescent="0.35">
      <c r="A1123" s="23" t="s">
        <v>1859</v>
      </c>
      <c r="B1123" s="26" t="s">
        <v>1860</v>
      </c>
      <c r="C1123" s="24" t="s">
        <v>49</v>
      </c>
      <c r="D1123" s="27">
        <v>2</v>
      </c>
      <c r="E1123" s="93">
        <f>71.81*(1.184419)</f>
        <v>85.053128390000012</v>
      </c>
      <c r="F1123" s="93">
        <f>8.09*(1.184419)</f>
        <v>9.58194971</v>
      </c>
      <c r="G1123" s="93">
        <f>0.48*(1.184419)</f>
        <v>0.56852111999999999</v>
      </c>
      <c r="H1123" s="104">
        <f t="shared" si="48"/>
        <v>95.203599220000015</v>
      </c>
      <c r="I1123" s="105">
        <f t="shared" si="49"/>
        <v>190.40719844000003</v>
      </c>
    </row>
    <row r="1124" spans="1:9" ht="15" thickBot="1" x14ac:dyDescent="0.35">
      <c r="A1124" s="23" t="s">
        <v>1861</v>
      </c>
      <c r="B1124" s="26" t="s">
        <v>1862</v>
      </c>
      <c r="C1124" s="24" t="s">
        <v>49</v>
      </c>
      <c r="D1124" s="27">
        <v>8</v>
      </c>
      <c r="E1124" s="93">
        <f>137.36*(1.184419)</f>
        <v>162.69179384000003</v>
      </c>
      <c r="F1124" s="93">
        <f>22.7*(1.184419)</f>
        <v>26.886311300000003</v>
      </c>
      <c r="G1124" s="93">
        <f>1.36*(1.184419)</f>
        <v>1.6108098400000002</v>
      </c>
      <c r="H1124" s="104">
        <f t="shared" si="48"/>
        <v>191.18891498000005</v>
      </c>
      <c r="I1124" s="105">
        <f t="shared" si="49"/>
        <v>1529.5113198400004</v>
      </c>
    </row>
    <row r="1125" spans="1:9" ht="15" thickBot="1" x14ac:dyDescent="0.35">
      <c r="A1125" s="23" t="s">
        <v>1863</v>
      </c>
      <c r="B1125" s="26" t="s">
        <v>1864</v>
      </c>
      <c r="C1125" s="24" t="s">
        <v>49</v>
      </c>
      <c r="D1125" s="32">
        <v>7</v>
      </c>
      <c r="E1125" s="93">
        <f>133.12*(1.184419)</f>
        <v>157.66985728000003</v>
      </c>
      <c r="F1125" s="93">
        <f>22.7*(1.184419)</f>
        <v>26.886311300000003</v>
      </c>
      <c r="G1125" s="93">
        <f>1.36*(1.184419)</f>
        <v>1.6108098400000002</v>
      </c>
      <c r="H1125" s="104">
        <f t="shared" si="48"/>
        <v>186.16697842000002</v>
      </c>
      <c r="I1125" s="105">
        <f t="shared" si="49"/>
        <v>1303.1688489400001</v>
      </c>
    </row>
    <row r="1126" spans="1:9" ht="15" thickBot="1" x14ac:dyDescent="0.35">
      <c r="A1126" s="23" t="s">
        <v>1865</v>
      </c>
      <c r="B1126" s="26" t="s">
        <v>1866</v>
      </c>
      <c r="C1126" s="24" t="s">
        <v>49</v>
      </c>
      <c r="D1126" s="32">
        <v>1</v>
      </c>
      <c r="E1126" s="93">
        <f>138.45*(1.184419)</f>
        <v>163.98281055000001</v>
      </c>
      <c r="F1126" s="93">
        <f>22.7*(1.184419)</f>
        <v>26.886311300000003</v>
      </c>
      <c r="G1126" s="93">
        <f>1.36*(1.184419)</f>
        <v>1.6108098400000002</v>
      </c>
      <c r="H1126" s="104">
        <f t="shared" si="48"/>
        <v>192.47993169</v>
      </c>
      <c r="I1126" s="105">
        <f t="shared" si="49"/>
        <v>192.47993169</v>
      </c>
    </row>
    <row r="1127" spans="1:9" ht="15" thickBot="1" x14ac:dyDescent="0.35">
      <c r="A1127" s="23" t="s">
        <v>1867</v>
      </c>
      <c r="B1127" s="31" t="s">
        <v>1868</v>
      </c>
      <c r="C1127" s="24" t="s">
        <v>49</v>
      </c>
      <c r="D1127" s="32">
        <v>1</v>
      </c>
      <c r="E1127" s="93">
        <f>146.88*(1.184419)</f>
        <v>173.96746272000001</v>
      </c>
      <c r="F1127" s="93">
        <f>22.7*(1.184419)</f>
        <v>26.886311300000003</v>
      </c>
      <c r="G1127" s="93">
        <f>1.36*(1.184419)</f>
        <v>1.6108098400000002</v>
      </c>
      <c r="H1127" s="104">
        <f t="shared" si="48"/>
        <v>202.46458386</v>
      </c>
      <c r="I1127" s="105">
        <f t="shared" si="49"/>
        <v>202.46458386</v>
      </c>
    </row>
    <row r="1128" spans="1:9" ht="42" thickBot="1" x14ac:dyDescent="0.35">
      <c r="A1128" s="23" t="s">
        <v>1869</v>
      </c>
      <c r="B1128" s="26" t="s">
        <v>1870</v>
      </c>
      <c r="C1128" s="24" t="s">
        <v>49</v>
      </c>
      <c r="D1128" s="32">
        <v>7</v>
      </c>
      <c r="E1128" s="93">
        <f>9.81*(1.184419)</f>
        <v>11.619150390000001</v>
      </c>
      <c r="F1128" s="93">
        <f>5.43*(1.184419)</f>
        <v>6.43139517</v>
      </c>
      <c r="G1128" s="93">
        <f>0.32*(1.184419)</f>
        <v>0.37901408000000003</v>
      </c>
      <c r="H1128" s="104">
        <f t="shared" si="48"/>
        <v>18.429559640000004</v>
      </c>
      <c r="I1128" s="105">
        <f t="shared" si="49"/>
        <v>129.00691748000003</v>
      </c>
    </row>
    <row r="1129" spans="1:9" ht="28.2" thickBot="1" x14ac:dyDescent="0.35">
      <c r="A1129" s="23" t="s">
        <v>1871</v>
      </c>
      <c r="B1129" s="26" t="s">
        <v>1872</v>
      </c>
      <c r="C1129" s="24" t="s">
        <v>49</v>
      </c>
      <c r="D1129" s="32">
        <v>8</v>
      </c>
      <c r="E1129" s="93">
        <f>10.54*(1.184419)</f>
        <v>12.483776260000001</v>
      </c>
      <c r="F1129" s="93">
        <f>9.69*(1.184419)</f>
        <v>11.47702011</v>
      </c>
      <c r="G1129" s="93">
        <f>0.03*(1.184419)</f>
        <v>3.5532569999999999E-2</v>
      </c>
      <c r="H1129" s="104">
        <f t="shared" si="48"/>
        <v>23.996328940000001</v>
      </c>
      <c r="I1129" s="105">
        <f t="shared" si="49"/>
        <v>191.97063152000001</v>
      </c>
    </row>
    <row r="1130" spans="1:9" ht="42" thickBot="1" x14ac:dyDescent="0.35">
      <c r="A1130" s="23" t="s">
        <v>1873</v>
      </c>
      <c r="B1130" s="26" t="s">
        <v>1874</v>
      </c>
      <c r="C1130" s="24" t="s">
        <v>49</v>
      </c>
      <c r="D1130" s="32">
        <v>2</v>
      </c>
      <c r="E1130" s="93">
        <f>13.78*(1.184419)</f>
        <v>16.321293820000001</v>
      </c>
      <c r="F1130" s="93">
        <f>5.09*(1.184419)</f>
        <v>6.0286927100000005</v>
      </c>
      <c r="G1130" s="93">
        <f>0.3*(1.184419)</f>
        <v>0.35532570000000002</v>
      </c>
      <c r="H1130" s="104">
        <f t="shared" si="48"/>
        <v>22.705312230000004</v>
      </c>
      <c r="I1130" s="105">
        <f t="shared" si="49"/>
        <v>45.410624460000008</v>
      </c>
    </row>
    <row r="1131" spans="1:9" ht="28.2" thickBot="1" x14ac:dyDescent="0.35">
      <c r="A1131" s="23" t="s">
        <v>1875</v>
      </c>
      <c r="B1131" s="26" t="s">
        <v>1876</v>
      </c>
      <c r="C1131" s="24" t="s">
        <v>49</v>
      </c>
      <c r="D1131" s="32">
        <v>1</v>
      </c>
      <c r="E1131" s="93">
        <f>22.67*(1.184419)</f>
        <v>26.850778730000005</v>
      </c>
      <c r="F1131" s="93">
        <f>9.69*(1.184419)</f>
        <v>11.47702011</v>
      </c>
      <c r="G1131" s="93">
        <f>0.03*(1.184419)</f>
        <v>3.5532569999999999E-2</v>
      </c>
      <c r="H1131" s="104">
        <f t="shared" si="48"/>
        <v>38.363331410000008</v>
      </c>
      <c r="I1131" s="105">
        <f t="shared" si="49"/>
        <v>38.363331410000008</v>
      </c>
    </row>
    <row r="1132" spans="1:9" ht="42" thickBot="1" x14ac:dyDescent="0.35">
      <c r="A1132" s="23" t="s">
        <v>1877</v>
      </c>
      <c r="B1132" s="26" t="s">
        <v>1878</v>
      </c>
      <c r="C1132" s="24" t="s">
        <v>49</v>
      </c>
      <c r="D1132" s="32">
        <v>2</v>
      </c>
      <c r="E1132" s="93">
        <f>27.22*(1.184419)</f>
        <v>32.239885180000002</v>
      </c>
      <c r="F1132" s="93">
        <f>3.63*(1.184419)</f>
        <v>4.29944097</v>
      </c>
      <c r="G1132" s="93">
        <f>0.22*(1.184419)</f>
        <v>0.26057218000000004</v>
      </c>
      <c r="H1132" s="104">
        <f t="shared" si="48"/>
        <v>36.799898329999998</v>
      </c>
      <c r="I1132" s="105">
        <f t="shared" si="49"/>
        <v>73.599796659999996</v>
      </c>
    </row>
    <row r="1133" spans="1:9" ht="15" thickBot="1" x14ac:dyDescent="0.35">
      <c r="A1133" s="23" t="s">
        <v>1879</v>
      </c>
      <c r="B1133" s="44" t="s">
        <v>1880</v>
      </c>
      <c r="C1133" s="24" t="s">
        <v>49</v>
      </c>
      <c r="D1133" s="27">
        <v>2</v>
      </c>
      <c r="E1133" s="93">
        <f>59.37*(1.184419)</f>
        <v>70.31895603000001</v>
      </c>
      <c r="F1133" s="93">
        <f>22.7*(1.184419)</f>
        <v>26.886311300000003</v>
      </c>
      <c r="G1133" s="93">
        <f>1.36*(1.184419)</f>
        <v>1.6108098400000002</v>
      </c>
      <c r="H1133" s="104">
        <f t="shared" si="48"/>
        <v>98.816077170000014</v>
      </c>
      <c r="I1133" s="105">
        <f t="shared" si="49"/>
        <v>197.63215434000003</v>
      </c>
    </row>
    <row r="1134" spans="1:9" ht="15" thickBot="1" x14ac:dyDescent="0.35">
      <c r="A1134" s="30"/>
      <c r="B1134" s="26"/>
      <c r="C1134" s="26"/>
      <c r="D1134" s="26"/>
      <c r="E1134" s="93"/>
      <c r="F1134" s="93"/>
      <c r="G1134" s="93"/>
      <c r="H1134" s="104"/>
      <c r="I1134" s="105"/>
    </row>
    <row r="1135" spans="1:9" ht="15" thickBot="1" x14ac:dyDescent="0.35">
      <c r="A1135" s="34" t="s">
        <v>1881</v>
      </c>
      <c r="B1135" s="36" t="s">
        <v>1882</v>
      </c>
      <c r="C1135" s="35"/>
      <c r="D1135" s="35"/>
      <c r="E1135" s="35"/>
      <c r="F1135" s="35"/>
      <c r="G1135" s="35"/>
      <c r="H1135" s="35"/>
      <c r="I1135" s="117">
        <f>I1136</f>
        <v>3628.31363203</v>
      </c>
    </row>
    <row r="1136" spans="1:9" ht="42" thickBot="1" x14ac:dyDescent="0.35">
      <c r="A1136" s="23" t="s">
        <v>1883</v>
      </c>
      <c r="B1136" s="31" t="s">
        <v>1828</v>
      </c>
      <c r="C1136" s="24" t="s">
        <v>49</v>
      </c>
      <c r="D1136" s="27">
        <v>1</v>
      </c>
      <c r="E1136" s="93">
        <f>2899.7*(1.184419)</f>
        <v>3434.4597742999999</v>
      </c>
      <c r="F1136" s="93">
        <f>153.57*(1.184419)</f>
        <v>181.89122583</v>
      </c>
      <c r="G1136" s="93">
        <f>10.1*(1.184419)</f>
        <v>11.9626319</v>
      </c>
      <c r="H1136" s="104">
        <f t="shared" si="48"/>
        <v>3628.31363203</v>
      </c>
      <c r="I1136" s="105">
        <f t="shared" si="49"/>
        <v>3628.31363203</v>
      </c>
    </row>
    <row r="1137" spans="1:9" ht="15" thickBot="1" x14ac:dyDescent="0.35">
      <c r="A1137" s="30"/>
      <c r="B1137" s="26"/>
      <c r="C1137" s="26"/>
      <c r="D1137" s="26"/>
      <c r="E1137" s="93"/>
      <c r="F1137" s="93"/>
      <c r="G1137" s="93"/>
      <c r="H1137" s="104"/>
      <c r="I1137" s="105"/>
    </row>
    <row r="1138" spans="1:9" ht="15" thickBot="1" x14ac:dyDescent="0.35">
      <c r="A1138" s="34" t="s">
        <v>1884</v>
      </c>
      <c r="B1138" s="36" t="s">
        <v>1885</v>
      </c>
      <c r="C1138" s="35"/>
      <c r="D1138" s="35"/>
      <c r="E1138" s="35"/>
      <c r="F1138" s="35"/>
      <c r="G1138" s="35"/>
      <c r="H1138" s="35"/>
      <c r="I1138" s="117">
        <f>I1139</f>
        <v>1863.0437102400003</v>
      </c>
    </row>
    <row r="1139" spans="1:9" ht="15" thickBot="1" x14ac:dyDescent="0.35">
      <c r="A1139" s="23" t="s">
        <v>1886</v>
      </c>
      <c r="B1139" s="26" t="s">
        <v>1885</v>
      </c>
      <c r="C1139" s="24" t="s">
        <v>49</v>
      </c>
      <c r="D1139" s="27">
        <v>24</v>
      </c>
      <c r="E1139" s="93">
        <f>48*(1.184419)</f>
        <v>56.852112000000005</v>
      </c>
      <c r="F1139" s="93">
        <f>16.54*(1.184419)</f>
        <v>19.59029026</v>
      </c>
      <c r="G1139" s="93">
        <f>1*(1.184419)</f>
        <v>1.1844190000000001</v>
      </c>
      <c r="H1139" s="104">
        <f t="shared" si="48"/>
        <v>77.626821260000014</v>
      </c>
      <c r="I1139" s="105">
        <f t="shared" si="49"/>
        <v>1863.0437102400003</v>
      </c>
    </row>
    <row r="1140" spans="1:9" ht="15" thickBot="1" x14ac:dyDescent="0.35">
      <c r="A1140" s="30"/>
      <c r="B1140" s="26"/>
      <c r="C1140" s="26"/>
      <c r="D1140" s="26"/>
      <c r="E1140" s="93"/>
      <c r="F1140" s="93"/>
      <c r="G1140" s="93"/>
      <c r="H1140" s="104"/>
      <c r="I1140" s="105"/>
    </row>
    <row r="1141" spans="1:9" ht="15" thickBot="1" x14ac:dyDescent="0.35">
      <c r="A1141" s="34" t="s">
        <v>1887</v>
      </c>
      <c r="B1141" s="36" t="s">
        <v>1888</v>
      </c>
      <c r="C1141" s="35"/>
      <c r="D1141" s="35"/>
      <c r="E1141" s="35"/>
      <c r="F1141" s="35"/>
      <c r="G1141" s="35"/>
      <c r="H1141" s="35"/>
      <c r="I1141" s="117">
        <f>I1142</f>
        <v>5957.7223235200008</v>
      </c>
    </row>
    <row r="1142" spans="1:9" ht="28.2" thickBot="1" x14ac:dyDescent="0.35">
      <c r="A1142" s="23" t="s">
        <v>1889</v>
      </c>
      <c r="B1142" s="31" t="s">
        <v>1065</v>
      </c>
      <c r="C1142" s="24" t="s">
        <v>49</v>
      </c>
      <c r="D1142" s="27">
        <v>22</v>
      </c>
      <c r="E1142" s="93">
        <f>204.34*(1.184419)</f>
        <v>242.02417846000003</v>
      </c>
      <c r="F1142" s="93">
        <f>24.23*(1.184419)</f>
        <v>28.698472370000005</v>
      </c>
      <c r="G1142" s="93">
        <f>0.07*(1.184419)</f>
        <v>8.2909330000000017E-2</v>
      </c>
      <c r="H1142" s="104">
        <f t="shared" si="48"/>
        <v>270.80556016000003</v>
      </c>
      <c r="I1142" s="105">
        <f t="shared" si="49"/>
        <v>5957.7223235200008</v>
      </c>
    </row>
    <row r="1143" spans="1:9" ht="15" thickBot="1" x14ac:dyDescent="0.35">
      <c r="A1143" s="30"/>
      <c r="B1143" s="26"/>
      <c r="C1143" s="26"/>
      <c r="D1143" s="26"/>
      <c r="E1143" s="93"/>
      <c r="F1143" s="93"/>
      <c r="G1143" s="93"/>
      <c r="H1143" s="104"/>
      <c r="I1143" s="105"/>
    </row>
    <row r="1144" spans="1:9" ht="15" thickBot="1" x14ac:dyDescent="0.35">
      <c r="A1144" s="34" t="s">
        <v>1890</v>
      </c>
      <c r="B1144" s="36" t="s">
        <v>1891</v>
      </c>
      <c r="C1144" s="35"/>
      <c r="D1144" s="35"/>
      <c r="E1144" s="35"/>
      <c r="F1144" s="35"/>
      <c r="G1144" s="35"/>
      <c r="H1144" s="35"/>
      <c r="I1144" s="117">
        <f>I1145</f>
        <v>25887.147275790001</v>
      </c>
    </row>
    <row r="1145" spans="1:9" ht="28.2" thickBot="1" x14ac:dyDescent="0.35">
      <c r="A1145" s="23" t="s">
        <v>1892</v>
      </c>
      <c r="B1145" s="31" t="s">
        <v>1893</v>
      </c>
      <c r="C1145" s="24" t="s">
        <v>49</v>
      </c>
      <c r="D1145" s="27">
        <v>1</v>
      </c>
      <c r="E1145" s="93">
        <f>21638.76*(1.184419)</f>
        <v>25629.358480440002</v>
      </c>
      <c r="F1145" s="93">
        <f>203.55*(1.184419)</f>
        <v>241.08848745000003</v>
      </c>
      <c r="G1145" s="93">
        <f>14.1*(1.184419)</f>
        <v>16.700307900000002</v>
      </c>
      <c r="H1145" s="104">
        <f t="shared" si="48"/>
        <v>25887.147275790001</v>
      </c>
      <c r="I1145" s="105">
        <f t="shared" si="49"/>
        <v>25887.147275790001</v>
      </c>
    </row>
    <row r="1146" spans="1:9" ht="15" thickBot="1" x14ac:dyDescent="0.35">
      <c r="A1146" s="30"/>
      <c r="B1146" s="26"/>
      <c r="C1146" s="26"/>
      <c r="D1146" s="26"/>
      <c r="E1146" s="93"/>
      <c r="F1146" s="93"/>
      <c r="G1146" s="93"/>
      <c r="H1146" s="104"/>
      <c r="I1146" s="105"/>
    </row>
    <row r="1147" spans="1:9" ht="15" thickBot="1" x14ac:dyDescent="0.35">
      <c r="A1147" s="18" t="s">
        <v>1894</v>
      </c>
      <c r="B1147" s="20" t="s">
        <v>1895</v>
      </c>
      <c r="C1147" s="19"/>
      <c r="D1147" s="19"/>
      <c r="E1147" s="19"/>
      <c r="F1147" s="19"/>
      <c r="G1147" s="19"/>
      <c r="H1147" s="19"/>
      <c r="I1147" s="115">
        <f>I1148</f>
        <v>408751.28783300007</v>
      </c>
    </row>
    <row r="1148" spans="1:9" ht="15" thickBot="1" x14ac:dyDescent="0.35">
      <c r="A1148" s="34" t="s">
        <v>1896</v>
      </c>
      <c r="B1148" s="36" t="s">
        <v>1897</v>
      </c>
      <c r="C1148" s="35"/>
      <c r="D1148" s="35"/>
      <c r="E1148" s="35"/>
      <c r="F1148" s="35"/>
      <c r="G1148" s="35"/>
      <c r="H1148" s="35"/>
      <c r="I1148" s="117">
        <f>SUM(I1151:I1156)</f>
        <v>408751.28783300007</v>
      </c>
    </row>
    <row r="1149" spans="1:9" ht="15" thickBot="1" x14ac:dyDescent="0.35">
      <c r="A1149" s="30"/>
      <c r="B1149" s="26"/>
      <c r="C1149" s="26"/>
      <c r="D1149" s="26"/>
      <c r="E1149" s="93"/>
      <c r="F1149" s="93"/>
      <c r="G1149" s="93"/>
      <c r="H1149" s="104"/>
      <c r="I1149" s="105"/>
    </row>
    <row r="1150" spans="1:9" ht="16.8" customHeight="1" thickBot="1" x14ac:dyDescent="0.35">
      <c r="A1150" s="40" t="s">
        <v>1898</v>
      </c>
      <c r="B1150" s="41" t="s">
        <v>1899</v>
      </c>
      <c r="C1150" s="26"/>
      <c r="D1150" s="26"/>
      <c r="E1150" s="93"/>
      <c r="F1150" s="93"/>
      <c r="G1150" s="93"/>
      <c r="H1150" s="104"/>
      <c r="I1150" s="105"/>
    </row>
    <row r="1151" spans="1:9" ht="22.2" customHeight="1" thickBot="1" x14ac:dyDescent="0.35">
      <c r="A1151" s="23" t="s">
        <v>1900</v>
      </c>
      <c r="B1151" s="26" t="s">
        <v>1981</v>
      </c>
      <c r="C1151" s="24" t="s">
        <v>1901</v>
      </c>
      <c r="D1151" s="27">
        <v>1</v>
      </c>
      <c r="E1151" s="93">
        <f>150867*(1.184419)</f>
        <v>178689.74127300002</v>
      </c>
      <c r="F1151" s="93"/>
      <c r="G1151" s="93"/>
      <c r="H1151" s="104">
        <f t="shared" si="48"/>
        <v>178689.74127300002</v>
      </c>
      <c r="I1151" s="105">
        <f>H1151*D1151</f>
        <v>178689.74127300002</v>
      </c>
    </row>
    <row r="1152" spans="1:9" ht="22.2" customHeight="1" thickBot="1" x14ac:dyDescent="0.35">
      <c r="A1152" s="23" t="s">
        <v>1902</v>
      </c>
      <c r="B1152" s="26" t="s">
        <v>1903</v>
      </c>
      <c r="C1152" s="24" t="s">
        <v>1901</v>
      </c>
      <c r="D1152" s="27">
        <v>1</v>
      </c>
      <c r="E1152" s="93">
        <f>2230*(1.184419)</f>
        <v>2641.2543700000001</v>
      </c>
      <c r="F1152" s="93"/>
      <c r="G1152" s="93"/>
      <c r="H1152" s="104">
        <f t="shared" si="48"/>
        <v>2641.2543700000001</v>
      </c>
      <c r="I1152" s="105">
        <f t="shared" si="49"/>
        <v>2641.2543700000001</v>
      </c>
    </row>
    <row r="1153" spans="1:9" ht="18.600000000000001" customHeight="1" thickBot="1" x14ac:dyDescent="0.35">
      <c r="A1153" s="23" t="s">
        <v>1904</v>
      </c>
      <c r="B1153" s="26" t="s">
        <v>1905</v>
      </c>
      <c r="C1153" s="24" t="s">
        <v>1901</v>
      </c>
      <c r="D1153" s="27">
        <v>1</v>
      </c>
      <c r="E1153" s="93">
        <f>42825*(1.184419)</f>
        <v>50722.743675000005</v>
      </c>
      <c r="F1153" s="93"/>
      <c r="G1153" s="93"/>
      <c r="H1153" s="104">
        <f t="shared" si="48"/>
        <v>50722.743675000005</v>
      </c>
      <c r="I1153" s="105">
        <f>H1153*D1153</f>
        <v>50722.743675000005</v>
      </c>
    </row>
    <row r="1154" spans="1:9" ht="20.399999999999999" customHeight="1" thickBot="1" x14ac:dyDescent="0.35">
      <c r="A1154" s="23" t="s">
        <v>1906</v>
      </c>
      <c r="B1154" s="26" t="s">
        <v>1907</v>
      </c>
      <c r="C1154" s="24" t="s">
        <v>1901</v>
      </c>
      <c r="D1154" s="27">
        <v>1</v>
      </c>
      <c r="E1154" s="93">
        <f>51550*(1.184419)</f>
        <v>61056.799450000006</v>
      </c>
      <c r="F1154" s="93"/>
      <c r="G1154" s="93"/>
      <c r="H1154" s="104">
        <f t="shared" si="48"/>
        <v>61056.799450000006</v>
      </c>
      <c r="I1154" s="105">
        <f>H1154*D1154</f>
        <v>61056.799450000006</v>
      </c>
    </row>
    <row r="1155" spans="1:9" ht="21.6" customHeight="1" thickBot="1" x14ac:dyDescent="0.35">
      <c r="A1155" s="23" t="s">
        <v>1908</v>
      </c>
      <c r="B1155" s="26" t="s">
        <v>1909</v>
      </c>
      <c r="C1155" s="24" t="s">
        <v>1901</v>
      </c>
      <c r="D1155" s="27">
        <v>1</v>
      </c>
      <c r="E1155" s="93">
        <f>79365*(1.184419)</f>
        <v>94001.413935000004</v>
      </c>
      <c r="F1155" s="93"/>
      <c r="G1155" s="93"/>
      <c r="H1155" s="104">
        <f t="shared" si="48"/>
        <v>94001.413935000004</v>
      </c>
      <c r="I1155" s="105">
        <f t="shared" si="49"/>
        <v>94001.413935000004</v>
      </c>
    </row>
    <row r="1156" spans="1:9" ht="28.2" thickBot="1" x14ac:dyDescent="0.35">
      <c r="A1156" s="23" t="s">
        <v>1910</v>
      </c>
      <c r="B1156" s="26" t="s">
        <v>1911</v>
      </c>
      <c r="C1156" s="24" t="s">
        <v>1901</v>
      </c>
      <c r="D1156" s="27">
        <v>1</v>
      </c>
      <c r="E1156" s="93">
        <f>18270*(1.184419)</f>
        <v>21639.335130000003</v>
      </c>
      <c r="F1156" s="93"/>
      <c r="G1156" s="93"/>
      <c r="H1156" s="104">
        <f t="shared" si="48"/>
        <v>21639.335130000003</v>
      </c>
      <c r="I1156" s="105">
        <f>H1156*D1156</f>
        <v>21639.335130000003</v>
      </c>
    </row>
    <row r="1157" spans="1:9" ht="16.2" thickBot="1" x14ac:dyDescent="0.35">
      <c r="A1157" s="30"/>
      <c r="B1157" s="26"/>
      <c r="C1157" s="26"/>
      <c r="D1157" s="26"/>
      <c r="E1157" s="27"/>
      <c r="F1157" s="24"/>
      <c r="G1157" s="26"/>
      <c r="H1157" s="104" t="s">
        <v>11</v>
      </c>
      <c r="I1157" s="107"/>
    </row>
    <row r="1158" spans="1:9" ht="16.2" thickBot="1" x14ac:dyDescent="0.35">
      <c r="A1158" s="18" t="s">
        <v>1912</v>
      </c>
      <c r="B1158" s="20" t="s">
        <v>1913</v>
      </c>
      <c r="C1158" s="19"/>
      <c r="D1158" s="19"/>
      <c r="E1158" s="21"/>
      <c r="F1158" s="22"/>
      <c r="G1158" s="20"/>
      <c r="H1158" s="102" t="s">
        <v>11</v>
      </c>
      <c r="I1158" s="108" t="s">
        <v>11</v>
      </c>
    </row>
    <row r="1159" spans="1:9" ht="7.8" customHeight="1" thickBot="1" x14ac:dyDescent="0.35">
      <c r="A1159" s="30"/>
      <c r="B1159" s="26"/>
      <c r="C1159" s="26"/>
      <c r="D1159" s="26"/>
      <c r="E1159" s="27"/>
      <c r="F1159" s="24"/>
      <c r="G1159" s="26"/>
      <c r="H1159" s="104" t="s">
        <v>11</v>
      </c>
      <c r="I1159" s="107"/>
    </row>
    <row r="1160" spans="1:9" ht="16.2" thickBot="1" x14ac:dyDescent="0.35">
      <c r="A1160" s="34" t="s">
        <v>1914</v>
      </c>
      <c r="B1160" s="36" t="s">
        <v>1915</v>
      </c>
      <c r="C1160" s="35"/>
      <c r="D1160" s="35"/>
      <c r="E1160" s="37"/>
      <c r="F1160" s="38"/>
      <c r="G1160" s="36"/>
      <c r="H1160" s="109" t="s">
        <v>11</v>
      </c>
      <c r="I1160" s="110" t="s">
        <v>11</v>
      </c>
    </row>
    <row r="1161" spans="1:9" ht="16.2" thickBot="1" x14ac:dyDescent="0.35">
      <c r="A1161" s="45"/>
      <c r="B1161" s="35"/>
      <c r="C1161" s="35"/>
      <c r="D1161" s="35"/>
      <c r="E1161" s="46"/>
      <c r="F1161" s="47"/>
      <c r="G1161" s="35"/>
      <c r="H1161" s="111" t="s">
        <v>11</v>
      </c>
      <c r="I1161" s="112"/>
    </row>
    <row r="1162" spans="1:9" ht="16.2" thickBot="1" x14ac:dyDescent="0.35">
      <c r="A1162" s="34" t="s">
        <v>1916</v>
      </c>
      <c r="B1162" s="36" t="s">
        <v>1917</v>
      </c>
      <c r="C1162" s="35"/>
      <c r="D1162" s="35"/>
      <c r="E1162" s="37"/>
      <c r="F1162" s="38"/>
      <c r="G1162" s="36"/>
      <c r="H1162" s="109" t="s">
        <v>11</v>
      </c>
      <c r="I1162" s="110" t="s">
        <v>11</v>
      </c>
    </row>
    <row r="1163" spans="1:9" ht="6.6" customHeight="1" thickBot="1" x14ac:dyDescent="0.35">
      <c r="A1163" s="30"/>
      <c r="B1163" s="26"/>
      <c r="C1163" s="26"/>
      <c r="D1163" s="26"/>
      <c r="E1163" s="27"/>
      <c r="F1163" s="24"/>
      <c r="G1163" s="26"/>
      <c r="H1163" s="104" t="s">
        <v>11</v>
      </c>
      <c r="I1163" s="107"/>
    </row>
    <row r="1164" spans="1:9" ht="16.2" thickBot="1" x14ac:dyDescent="0.35">
      <c r="A1164" s="34" t="s">
        <v>1918</v>
      </c>
      <c r="B1164" s="36" t="s">
        <v>1919</v>
      </c>
      <c r="C1164" s="35"/>
      <c r="D1164" s="35"/>
      <c r="E1164" s="37"/>
      <c r="F1164" s="38"/>
      <c r="G1164" s="36"/>
      <c r="H1164" s="109" t="s">
        <v>11</v>
      </c>
      <c r="I1164" s="110" t="s">
        <v>11</v>
      </c>
    </row>
    <row r="1165" spans="1:9" ht="5.4" customHeight="1" thickBot="1" x14ac:dyDescent="0.35">
      <c r="A1165" s="30"/>
      <c r="B1165" s="26"/>
      <c r="C1165" s="26"/>
      <c r="D1165" s="26"/>
      <c r="E1165" s="27"/>
      <c r="F1165" s="24"/>
      <c r="G1165" s="26"/>
      <c r="H1165" s="104" t="s">
        <v>11</v>
      </c>
      <c r="I1165" s="107"/>
    </row>
    <row r="1166" spans="1:9" ht="16.2" thickBot="1" x14ac:dyDescent="0.35">
      <c r="A1166" s="34" t="s">
        <v>1920</v>
      </c>
      <c r="B1166" s="36" t="s">
        <v>1921</v>
      </c>
      <c r="C1166" s="35"/>
      <c r="D1166" s="35"/>
      <c r="E1166" s="37"/>
      <c r="F1166" s="38"/>
      <c r="G1166" s="36"/>
      <c r="H1166" s="109" t="s">
        <v>11</v>
      </c>
      <c r="I1166" s="110" t="s">
        <v>11</v>
      </c>
    </row>
    <row r="1167" spans="1:9" ht="7.2" customHeight="1" thickBot="1" x14ac:dyDescent="0.35">
      <c r="A1167" s="30"/>
      <c r="B1167" s="26"/>
      <c r="C1167" s="26"/>
      <c r="D1167" s="26"/>
      <c r="E1167" s="27"/>
      <c r="F1167" s="24"/>
      <c r="G1167" s="26"/>
      <c r="H1167" s="104" t="s">
        <v>11</v>
      </c>
      <c r="I1167" s="107"/>
    </row>
    <row r="1168" spans="1:9" ht="16.2" thickBot="1" x14ac:dyDescent="0.35">
      <c r="A1168" s="34" t="s">
        <v>1922</v>
      </c>
      <c r="B1168" s="36" t="s">
        <v>1923</v>
      </c>
      <c r="C1168" s="35"/>
      <c r="D1168" s="35"/>
      <c r="E1168" s="37"/>
      <c r="F1168" s="38"/>
      <c r="G1168" s="36"/>
      <c r="H1168" s="109" t="s">
        <v>11</v>
      </c>
      <c r="I1168" s="110" t="s">
        <v>11</v>
      </c>
    </row>
    <row r="1169" spans="1:11" ht="7.2" customHeight="1" thickBot="1" x14ac:dyDescent="0.35">
      <c r="A1169" s="30"/>
      <c r="B1169" s="26"/>
      <c r="C1169" s="26"/>
      <c r="D1169" s="26"/>
      <c r="E1169" s="27"/>
      <c r="F1169" s="24"/>
      <c r="G1169" s="26"/>
      <c r="H1169" s="104" t="s">
        <v>11</v>
      </c>
      <c r="I1169" s="107"/>
    </row>
    <row r="1170" spans="1:11" ht="15" thickBot="1" x14ac:dyDescent="0.35">
      <c r="A1170" s="18" t="s">
        <v>1924</v>
      </c>
      <c r="B1170" s="20" t="s">
        <v>1925</v>
      </c>
      <c r="C1170" s="19"/>
      <c r="D1170" s="19"/>
      <c r="E1170" s="21"/>
      <c r="F1170" s="22"/>
      <c r="G1170" s="20"/>
      <c r="H1170" s="102" t="s">
        <v>11</v>
      </c>
      <c r="I1170" s="122">
        <v>31002.16</v>
      </c>
    </row>
    <row r="1171" spans="1:11" ht="15" thickBot="1" x14ac:dyDescent="0.35">
      <c r="A1171" s="34" t="s">
        <v>1926</v>
      </c>
      <c r="B1171" s="36" t="s">
        <v>1927</v>
      </c>
      <c r="C1171" s="35"/>
      <c r="D1171" s="35"/>
      <c r="E1171" s="37"/>
      <c r="F1171" s="38"/>
      <c r="G1171" s="36"/>
      <c r="H1171" s="109" t="s">
        <v>11</v>
      </c>
      <c r="I1171" s="123">
        <v>31002.16</v>
      </c>
    </row>
    <row r="1172" spans="1:11" ht="15" thickBot="1" x14ac:dyDescent="0.35">
      <c r="A1172" s="23" t="s">
        <v>1928</v>
      </c>
      <c r="B1172" s="26" t="s">
        <v>1929</v>
      </c>
      <c r="C1172" s="24" t="s">
        <v>66</v>
      </c>
      <c r="D1172" s="28">
        <v>1500</v>
      </c>
      <c r="E1172" s="27"/>
      <c r="F1172" s="26">
        <v>13.61</v>
      </c>
      <c r="G1172" s="26"/>
      <c r="H1172" s="104">
        <v>13.61</v>
      </c>
      <c r="I1172" s="124">
        <v>24179.91</v>
      </c>
    </row>
    <row r="1173" spans="1:11" ht="42" thickBot="1" x14ac:dyDescent="0.35">
      <c r="A1173" s="23" t="s">
        <v>1930</v>
      </c>
      <c r="B1173" s="26" t="s">
        <v>127</v>
      </c>
      <c r="C1173" s="24" t="s">
        <v>125</v>
      </c>
      <c r="D1173" s="28">
        <v>6000</v>
      </c>
      <c r="E1173" s="27">
        <v>0.6</v>
      </c>
      <c r="F1173" s="26">
        <v>0.1</v>
      </c>
      <c r="G1173" s="26">
        <v>0.26</v>
      </c>
      <c r="H1173" s="104">
        <v>0.96</v>
      </c>
      <c r="I1173" s="124">
        <v>6822.25</v>
      </c>
    </row>
    <row r="1174" spans="1:11" ht="15" thickBot="1" x14ac:dyDescent="0.35">
      <c r="A1174" s="30"/>
      <c r="B1174" s="26"/>
      <c r="C1174" s="26"/>
      <c r="D1174" s="26"/>
      <c r="E1174" s="27"/>
      <c r="F1174" s="24"/>
      <c r="G1174" s="26"/>
      <c r="H1174" s="104" t="s">
        <v>11</v>
      </c>
      <c r="I1174" s="124"/>
    </row>
    <row r="1175" spans="1:11" ht="15" thickBot="1" x14ac:dyDescent="0.35">
      <c r="A1175" s="9"/>
      <c r="B1175" s="48" t="s">
        <v>1931</v>
      </c>
      <c r="C1175" s="10"/>
      <c r="D1175" s="10"/>
      <c r="E1175" s="10"/>
      <c r="F1175" s="10"/>
      <c r="G1175" s="10"/>
      <c r="H1175" s="113"/>
      <c r="I1175" s="125">
        <f>I5+I63</f>
        <v>13301637.912676254</v>
      </c>
      <c r="J1175" s="129"/>
      <c r="K1175" s="129"/>
    </row>
    <row r="1176" spans="1:11" ht="6" customHeight="1" thickBot="1" x14ac:dyDescent="0.35">
      <c r="I1176" s="126"/>
    </row>
    <row r="1177" spans="1:11" ht="15" thickBot="1" x14ac:dyDescent="0.35">
      <c r="A1177" s="9"/>
      <c r="B1177" s="48" t="s">
        <v>1982</v>
      </c>
      <c r="C1177" s="10"/>
      <c r="D1177" s="10"/>
      <c r="E1177" s="10"/>
      <c r="F1177" s="10"/>
      <c r="G1177" s="10"/>
      <c r="H1177" s="113"/>
      <c r="I1177" s="125">
        <v>3961224.17</v>
      </c>
    </row>
    <row r="1178" spans="1:11" ht="6.6" customHeight="1" thickBot="1" x14ac:dyDescent="0.35">
      <c r="I1178" s="126"/>
    </row>
    <row r="1179" spans="1:11" x14ac:dyDescent="0.3">
      <c r="A1179" s="9"/>
      <c r="B1179" s="48" t="s">
        <v>1983</v>
      </c>
      <c r="C1179" s="10"/>
      <c r="D1179" s="10"/>
      <c r="E1179" s="10"/>
      <c r="F1179" s="10"/>
      <c r="G1179" s="10"/>
      <c r="H1179" s="113"/>
      <c r="I1179" s="127">
        <f>I1175+I1177</f>
        <v>17262862.082676254</v>
      </c>
      <c r="J1179" s="3"/>
    </row>
  </sheetData>
  <mergeCells count="2">
    <mergeCell ref="E2:H2"/>
    <mergeCell ref="I2:I3"/>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C08B8-80E2-4662-8BC0-E43D574E862C}">
  <dimension ref="B1:D28"/>
  <sheetViews>
    <sheetView topLeftCell="A19" workbookViewId="0">
      <selection activeCell="C4" sqref="C4"/>
    </sheetView>
  </sheetViews>
  <sheetFormatPr defaultRowHeight="14.4" x14ac:dyDescent="0.3"/>
  <cols>
    <col min="3" max="3" width="69.77734375" customWidth="1"/>
    <col min="4" max="4" width="17.6640625" customWidth="1"/>
  </cols>
  <sheetData>
    <row r="1" spans="2:4" ht="15" thickBot="1" x14ac:dyDescent="0.35">
      <c r="B1" s="52"/>
      <c r="C1" s="53" t="s">
        <v>1933</v>
      </c>
      <c r="D1" s="135" t="s">
        <v>1934</v>
      </c>
    </row>
    <row r="2" spans="2:4" ht="15" thickBot="1" x14ac:dyDescent="0.35">
      <c r="B2" s="54"/>
      <c r="C2" s="55" t="s">
        <v>1935</v>
      </c>
      <c r="D2" s="136"/>
    </row>
    <row r="3" spans="2:4" ht="15" thickBot="1" x14ac:dyDescent="0.35">
      <c r="B3" s="54"/>
      <c r="C3" s="55" t="s">
        <v>1936</v>
      </c>
      <c r="D3" s="136"/>
    </row>
    <row r="4" spans="2:4" ht="15" thickBot="1" x14ac:dyDescent="0.35">
      <c r="B4" s="56"/>
      <c r="C4" s="57" t="s">
        <v>1937</v>
      </c>
      <c r="D4" s="137"/>
    </row>
    <row r="5" spans="2:4" ht="15" thickBot="1" x14ac:dyDescent="0.35">
      <c r="B5" s="58" t="s">
        <v>1938</v>
      </c>
      <c r="C5" s="59" t="s">
        <v>1939</v>
      </c>
      <c r="D5" s="60"/>
    </row>
    <row r="6" spans="2:4" ht="15" thickBot="1" x14ac:dyDescent="0.35">
      <c r="B6" s="5" t="s">
        <v>0</v>
      </c>
      <c r="C6" s="6" t="s">
        <v>1</v>
      </c>
      <c r="D6" s="61"/>
    </row>
    <row r="7" spans="2:4" ht="15" thickBot="1" x14ac:dyDescent="0.35">
      <c r="B7" s="62" t="s">
        <v>2</v>
      </c>
      <c r="C7" s="63" t="s">
        <v>3</v>
      </c>
      <c r="D7" s="64" t="s">
        <v>9</v>
      </c>
    </row>
    <row r="8" spans="2:4" ht="15" thickBot="1" x14ac:dyDescent="0.35">
      <c r="B8" s="65">
        <v>1</v>
      </c>
      <c r="C8" s="15" t="s">
        <v>10</v>
      </c>
      <c r="D8" s="66">
        <v>2237691.5</v>
      </c>
    </row>
    <row r="9" spans="2:4" ht="15" thickBot="1" x14ac:dyDescent="0.35">
      <c r="B9" s="67" t="s">
        <v>12</v>
      </c>
      <c r="C9" s="36" t="s">
        <v>13</v>
      </c>
      <c r="D9" s="68">
        <v>1009676.11</v>
      </c>
    </row>
    <row r="10" spans="2:4" ht="15" thickBot="1" x14ac:dyDescent="0.35">
      <c r="B10" s="67" t="s">
        <v>45</v>
      </c>
      <c r="C10" s="36" t="s">
        <v>46</v>
      </c>
      <c r="D10" s="68">
        <v>217155.47</v>
      </c>
    </row>
    <row r="11" spans="2:4" ht="15" thickBot="1" x14ac:dyDescent="0.35">
      <c r="B11" s="67" t="s">
        <v>77</v>
      </c>
      <c r="C11" s="36" t="s">
        <v>78</v>
      </c>
      <c r="D11" s="68">
        <v>60325.61</v>
      </c>
    </row>
    <row r="12" spans="2:4" ht="15" thickBot="1" x14ac:dyDescent="0.35">
      <c r="B12" s="67" t="s">
        <v>86</v>
      </c>
      <c r="C12" s="36" t="s">
        <v>87</v>
      </c>
      <c r="D12" s="68">
        <v>106981.41</v>
      </c>
    </row>
    <row r="13" spans="2:4" ht="15" thickBot="1" x14ac:dyDescent="0.35">
      <c r="B13" s="67" t="s">
        <v>99</v>
      </c>
      <c r="C13" s="36" t="s">
        <v>100</v>
      </c>
      <c r="D13" s="68">
        <v>843552.9</v>
      </c>
    </row>
    <row r="14" spans="2:4" ht="15" thickBot="1" x14ac:dyDescent="0.35">
      <c r="B14" s="65">
        <v>2</v>
      </c>
      <c r="C14" s="15" t="s">
        <v>128</v>
      </c>
      <c r="D14" s="66">
        <v>11063947.210000001</v>
      </c>
    </row>
    <row r="15" spans="2:4" ht="15" thickBot="1" x14ac:dyDescent="0.35">
      <c r="B15" s="67" t="s">
        <v>129</v>
      </c>
      <c r="C15" s="36" t="s">
        <v>130</v>
      </c>
      <c r="D15" s="68">
        <v>4203175.9800000004</v>
      </c>
    </row>
    <row r="16" spans="2:4" ht="15" thickBot="1" x14ac:dyDescent="0.35">
      <c r="B16" s="67" t="s">
        <v>299</v>
      </c>
      <c r="C16" s="36" t="s">
        <v>300</v>
      </c>
      <c r="D16" s="68">
        <v>4775621.93</v>
      </c>
    </row>
    <row r="17" spans="2:4" ht="15" thickBot="1" x14ac:dyDescent="0.35">
      <c r="B17" s="67" t="s">
        <v>717</v>
      </c>
      <c r="C17" s="36" t="s">
        <v>718</v>
      </c>
      <c r="D17" s="39" t="s">
        <v>11</v>
      </c>
    </row>
    <row r="18" spans="2:4" ht="15" thickBot="1" x14ac:dyDescent="0.35">
      <c r="B18" s="67" t="s">
        <v>719</v>
      </c>
      <c r="C18" s="36" t="s">
        <v>720</v>
      </c>
      <c r="D18" s="68">
        <v>1208883.8799999999</v>
      </c>
    </row>
    <row r="19" spans="2:4" ht="28.2" thickBot="1" x14ac:dyDescent="0.35">
      <c r="B19" s="67" t="s">
        <v>1360</v>
      </c>
      <c r="C19" s="36" t="s">
        <v>1361</v>
      </c>
      <c r="D19" s="68">
        <v>370853.87</v>
      </c>
    </row>
    <row r="20" spans="2:4" ht="15" thickBot="1" x14ac:dyDescent="0.35">
      <c r="B20" s="67" t="s">
        <v>1832</v>
      </c>
      <c r="C20" s="36" t="s">
        <v>1833</v>
      </c>
      <c r="D20" s="68">
        <v>65672.259999999995</v>
      </c>
    </row>
    <row r="21" spans="2:4" ht="15" thickBot="1" x14ac:dyDescent="0.35">
      <c r="B21" s="67" t="s">
        <v>1894</v>
      </c>
      <c r="C21" s="36" t="s">
        <v>1895</v>
      </c>
      <c r="D21" s="68">
        <v>408737.13</v>
      </c>
    </row>
    <row r="22" spans="2:4" ht="15" thickBot="1" x14ac:dyDescent="0.35">
      <c r="B22" s="67" t="s">
        <v>1912</v>
      </c>
      <c r="C22" s="36" t="s">
        <v>1913</v>
      </c>
      <c r="D22" s="39" t="s">
        <v>11</v>
      </c>
    </row>
    <row r="23" spans="2:4" ht="15" thickBot="1" x14ac:dyDescent="0.35">
      <c r="B23" s="67" t="s">
        <v>1924</v>
      </c>
      <c r="C23" s="36" t="s">
        <v>1925</v>
      </c>
      <c r="D23" s="68">
        <v>31002.16</v>
      </c>
    </row>
    <row r="24" spans="2:4" ht="15" thickBot="1" x14ac:dyDescent="0.35">
      <c r="B24" s="9"/>
      <c r="C24" s="48" t="s">
        <v>1931</v>
      </c>
      <c r="D24" s="69">
        <v>13301638.710000001</v>
      </c>
    </row>
    <row r="25" spans="2:4" ht="15" thickBot="1" x14ac:dyDescent="0.35">
      <c r="B25" s="30"/>
      <c r="C25" s="26"/>
      <c r="D25" s="29"/>
    </row>
    <row r="26" spans="2:4" ht="15" thickBot="1" x14ac:dyDescent="0.35">
      <c r="B26" s="70">
        <v>0.29780000000000001</v>
      </c>
      <c r="C26" s="48" t="s">
        <v>1940</v>
      </c>
      <c r="D26" s="69">
        <v>3961223.37</v>
      </c>
    </row>
    <row r="27" spans="2:4" ht="15" thickBot="1" x14ac:dyDescent="0.35">
      <c r="B27" s="30"/>
      <c r="C27" s="26"/>
      <c r="D27" s="29"/>
    </row>
    <row r="28" spans="2:4" x14ac:dyDescent="0.3">
      <c r="B28" s="71"/>
      <c r="C28" s="72" t="s">
        <v>1941</v>
      </c>
      <c r="D28" s="73">
        <v>17262862.079999998</v>
      </c>
    </row>
  </sheetData>
  <mergeCells count="1">
    <mergeCell ref="D1:D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929AC-4ACD-49B8-8FA4-1025D2C85CD4}">
  <dimension ref="B1:E27"/>
  <sheetViews>
    <sheetView topLeftCell="A16" workbookViewId="0">
      <selection activeCell="D5" sqref="D5"/>
    </sheetView>
  </sheetViews>
  <sheetFormatPr defaultRowHeight="14.4" x14ac:dyDescent="0.3"/>
  <cols>
    <col min="3" max="3" width="53.33203125" customWidth="1"/>
    <col min="5" max="5" width="35.6640625" customWidth="1"/>
  </cols>
  <sheetData>
    <row r="1" spans="2:5" x14ac:dyDescent="0.3">
      <c r="B1" s="138"/>
      <c r="C1" s="141" t="s">
        <v>1942</v>
      </c>
      <c r="D1" s="142"/>
      <c r="E1" s="143"/>
    </row>
    <row r="2" spans="2:5" ht="14.4" customHeight="1" x14ac:dyDescent="0.3">
      <c r="B2" s="139"/>
      <c r="C2" s="144" t="s">
        <v>1943</v>
      </c>
      <c r="D2" s="145"/>
      <c r="E2" s="146"/>
    </row>
    <row r="3" spans="2:5" ht="15" customHeight="1" thickBot="1" x14ac:dyDescent="0.35">
      <c r="B3" s="140"/>
      <c r="C3" s="147" t="s">
        <v>1944</v>
      </c>
      <c r="D3" s="148"/>
      <c r="E3" s="149"/>
    </row>
    <row r="4" spans="2:5" ht="15" thickBot="1" x14ac:dyDescent="0.35">
      <c r="B4" s="80"/>
      <c r="C4" s="80"/>
      <c r="D4" s="80"/>
      <c r="E4" s="80"/>
    </row>
    <row r="5" spans="2:5" ht="25.2" customHeight="1" x14ac:dyDescent="0.3">
      <c r="B5" s="150" t="s">
        <v>1945</v>
      </c>
      <c r="C5" s="150" t="s">
        <v>1946</v>
      </c>
      <c r="D5" s="81" t="s">
        <v>1947</v>
      </c>
      <c r="E5" s="81" t="s">
        <v>1947</v>
      </c>
    </row>
    <row r="6" spans="2:5" ht="15" thickBot="1" x14ac:dyDescent="0.35">
      <c r="B6" s="151"/>
      <c r="C6" s="151"/>
      <c r="D6" s="74" t="s">
        <v>1948</v>
      </c>
      <c r="E6" s="74" t="s">
        <v>1949</v>
      </c>
    </row>
    <row r="7" spans="2:5" x14ac:dyDescent="0.3">
      <c r="B7" s="82"/>
      <c r="C7" s="83"/>
      <c r="D7" s="83"/>
      <c r="E7" s="83"/>
    </row>
    <row r="8" spans="2:5" ht="52.8" x14ac:dyDescent="0.3">
      <c r="B8" s="75">
        <v>1</v>
      </c>
      <c r="C8" s="76" t="s">
        <v>1950</v>
      </c>
      <c r="D8" s="77"/>
      <c r="E8" s="77">
        <v>4</v>
      </c>
    </row>
    <row r="9" spans="2:5" ht="41.4" x14ac:dyDescent="0.3">
      <c r="B9" s="84" t="s">
        <v>1951</v>
      </c>
      <c r="C9" s="83" t="s">
        <v>1952</v>
      </c>
      <c r="D9" s="83"/>
      <c r="E9" s="83"/>
    </row>
    <row r="10" spans="2:5" x14ac:dyDescent="0.3">
      <c r="B10" s="84" t="s">
        <v>1953</v>
      </c>
      <c r="C10" s="83" t="s">
        <v>1954</v>
      </c>
      <c r="D10" s="83"/>
      <c r="E10" s="83"/>
    </row>
    <row r="11" spans="2:5" x14ac:dyDescent="0.3">
      <c r="B11" s="84" t="s">
        <v>1955</v>
      </c>
      <c r="C11" s="83" t="s">
        <v>1956</v>
      </c>
      <c r="D11" s="83"/>
      <c r="E11" s="83"/>
    </row>
    <row r="12" spans="2:5" x14ac:dyDescent="0.3">
      <c r="B12" s="85"/>
      <c r="C12" s="83"/>
      <c r="D12" s="83"/>
      <c r="E12" s="83"/>
    </row>
    <row r="13" spans="2:5" ht="39.6" x14ac:dyDescent="0.3">
      <c r="B13" s="75">
        <v>2</v>
      </c>
      <c r="C13" s="76" t="s">
        <v>1957</v>
      </c>
      <c r="D13" s="77">
        <v>8.65</v>
      </c>
      <c r="E13" s="86"/>
    </row>
    <row r="14" spans="2:5" x14ac:dyDescent="0.3">
      <c r="B14" s="84" t="s">
        <v>1958</v>
      </c>
      <c r="C14" s="83" t="s">
        <v>1959</v>
      </c>
      <c r="D14" s="87">
        <v>5</v>
      </c>
      <c r="E14" s="83"/>
    </row>
    <row r="15" spans="2:5" x14ac:dyDescent="0.3">
      <c r="B15" s="84" t="s">
        <v>1960</v>
      </c>
      <c r="C15" s="83" t="s">
        <v>1961</v>
      </c>
      <c r="D15" s="87">
        <v>0.65</v>
      </c>
      <c r="E15" s="83"/>
    </row>
    <row r="16" spans="2:5" x14ac:dyDescent="0.3">
      <c r="B16" s="84" t="s">
        <v>1962</v>
      </c>
      <c r="C16" s="83" t="s">
        <v>1963</v>
      </c>
      <c r="D16" s="87">
        <v>3</v>
      </c>
      <c r="E16" s="83"/>
    </row>
    <row r="17" spans="2:5" x14ac:dyDescent="0.3">
      <c r="B17" s="82"/>
      <c r="C17" s="83"/>
      <c r="D17" s="83"/>
      <c r="E17" s="83"/>
    </row>
    <row r="18" spans="2:5" ht="26.4" x14ac:dyDescent="0.3">
      <c r="B18" s="75">
        <v>3</v>
      </c>
      <c r="C18" s="76" t="s">
        <v>1964</v>
      </c>
      <c r="D18" s="86"/>
      <c r="E18" s="77">
        <v>2.4700000000000002</v>
      </c>
    </row>
    <row r="19" spans="2:5" x14ac:dyDescent="0.3">
      <c r="B19" s="84" t="s">
        <v>1965</v>
      </c>
      <c r="C19" s="83" t="s">
        <v>1966</v>
      </c>
      <c r="D19" s="83"/>
      <c r="E19" s="87">
        <v>0.8</v>
      </c>
    </row>
    <row r="20" spans="2:5" x14ac:dyDescent="0.3">
      <c r="B20" s="84" t="s">
        <v>1967</v>
      </c>
      <c r="C20" s="83" t="s">
        <v>1968</v>
      </c>
      <c r="D20" s="83"/>
      <c r="E20" s="87">
        <v>1.27</v>
      </c>
    </row>
    <row r="21" spans="2:5" ht="27.6" x14ac:dyDescent="0.3">
      <c r="B21" s="84" t="s">
        <v>1967</v>
      </c>
      <c r="C21" s="83" t="s">
        <v>1969</v>
      </c>
      <c r="D21" s="83"/>
      <c r="E21" s="87">
        <v>0.4</v>
      </c>
    </row>
    <row r="22" spans="2:5" x14ac:dyDescent="0.3">
      <c r="B22" s="82"/>
      <c r="C22" s="83"/>
      <c r="D22" s="83"/>
      <c r="E22" s="83"/>
    </row>
    <row r="23" spans="2:5" ht="52.8" x14ac:dyDescent="0.3">
      <c r="B23" s="75">
        <v>4</v>
      </c>
      <c r="C23" s="76" t="s">
        <v>1970</v>
      </c>
      <c r="D23" s="86"/>
      <c r="E23" s="77">
        <v>1.23</v>
      </c>
    </row>
    <row r="24" spans="2:5" x14ac:dyDescent="0.3">
      <c r="B24" s="82"/>
      <c r="C24" s="83"/>
      <c r="D24" s="83"/>
      <c r="E24" s="83"/>
    </row>
    <row r="25" spans="2:5" x14ac:dyDescent="0.3">
      <c r="B25" s="75">
        <v>5</v>
      </c>
      <c r="C25" s="76" t="s">
        <v>1971</v>
      </c>
      <c r="D25" s="86"/>
      <c r="E25" s="77">
        <v>10</v>
      </c>
    </row>
    <row r="26" spans="2:5" ht="15" thickBot="1" x14ac:dyDescent="0.35">
      <c r="B26" s="88"/>
      <c r="C26" s="89"/>
      <c r="D26" s="89"/>
      <c r="E26" s="89"/>
    </row>
    <row r="27" spans="2:5" ht="40.200000000000003" thickBot="1" x14ac:dyDescent="0.35">
      <c r="B27" s="90"/>
      <c r="C27" s="78" t="s">
        <v>1972</v>
      </c>
      <c r="D27" s="78"/>
      <c r="E27" s="79">
        <v>29.78</v>
      </c>
    </row>
  </sheetData>
  <mergeCells count="6">
    <mergeCell ref="B1:B3"/>
    <mergeCell ref="C1:E1"/>
    <mergeCell ref="C2:E2"/>
    <mergeCell ref="C3:E3"/>
    <mergeCell ref="B5:B6"/>
    <mergeCell ref="C5:C6"/>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vt:lpstr>
      <vt:lpstr>Resumo</vt:lpstr>
      <vt:lpstr>BDI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Natan Birenbaun</dc:creator>
  <cp:lastModifiedBy>Natan Birenbaun</cp:lastModifiedBy>
  <dcterms:created xsi:type="dcterms:W3CDTF">2026-04-16T19:21:12Z</dcterms:created>
  <dcterms:modified xsi:type="dcterms:W3CDTF">2026-04-17T17:14:51Z</dcterms:modified>
</cp:coreProperties>
</file>